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all" sheetId="1" state="visible" r:id="rId3"/>
    <sheet name="QB" sheetId="2" state="visible" r:id="rId4"/>
    <sheet name="RB" sheetId="3" state="visible" r:id="rId5"/>
    <sheet name="WR" sheetId="4" state="visible" r:id="rId6"/>
    <sheet name="TE" sheetId="5" state="visible" r:id="rId7"/>
    <sheet name="Methodolog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<sst xmlns="http://schemas.openxmlformats.org/spreadsheetml/2006/main" count="1356" uniqueCount="306">
  <si>
    <t xml:space="preserve">Consolidated Trade Values — Week 6 (2026) — Overall</t>
  </si>
  <si>
    <t xml:space="preserve">QB — 1QB / 2QB</t>
  </si>
  <si>
    <t xml:space="preserve">Rank</t>
  </si>
  <si>
    <t xml:space="preserve">Player</t>
  </si>
  <si>
    <t xml:space="preserve">1QB</t>
  </si>
  <si>
    <t xml:space="preserve"># Sources</t>
  </si>
  <si>
    <t xml:space="preserve">2QB</t>
  </si>
  <si>
    <t xml:space="preserve">RB — PPR / HALF / STD</t>
  </si>
  <si>
    <t xml:space="preserve">PPR</t>
  </si>
  <si>
    <t xml:space="preserve">HALF</t>
  </si>
  <si>
    <t xml:space="preserve">STD</t>
  </si>
  <si>
    <t xml:space="preserve">WR — PPR / HALF / STD</t>
  </si>
  <si>
    <t xml:space="preserve">TE — PPR / HALF / STD</t>
  </si>
  <si>
    <t xml:space="preserve">QB — 1QB</t>
  </si>
  <si>
    <t xml:space="preserve">Site stats (this week)</t>
  </si>
  <si>
    <t xml:space="preserve">QB — 2QB</t>
  </si>
  <si>
    <t xml:space="preserve">RSJ does not publish 2QB/Superflex values — left blank, excluded from the average.</t>
  </si>
  <si>
    <t xml:space="preserve">POS</t>
  </si>
  <si>
    <t xml:space="preserve">AVG (Normalized)</t>
  </si>
  <si>
    <t xml:space="preserve">YAH (C)</t>
  </si>
  <si>
    <t xml:space="preserve">YAH (Norm)</t>
  </si>
  <si>
    <t xml:space="preserve">CBS (C)</t>
  </si>
  <si>
    <t xml:space="preserve">CBS (Norm)</t>
  </si>
  <si>
    <t xml:space="preserve">FP (C)</t>
  </si>
  <si>
    <t xml:space="preserve">FP (Norm)</t>
  </si>
  <si>
    <t xml:space="preserve">RSJ (C)</t>
  </si>
  <si>
    <t xml:space="preserve">RSJ (Norm)</t>
  </si>
  <si>
    <t xml:space="preserve">USA (C)</t>
  </si>
  <si>
    <t xml:space="preserve">USA (Norm)</t>
  </si>
  <si>
    <t xml:space="preserve">QB</t>
  </si>
  <si>
    <t xml:space="preserve">Josh Allen</t>
  </si>
  <si>
    <t xml:space="preserve">Brock Purdy</t>
  </si>
  <si>
    <t xml:space="preserve">YAH Mean</t>
  </si>
  <si>
    <t xml:space="preserve">Lamar Jackson</t>
  </si>
  <si>
    <t xml:space="preserve">YAH StDev</t>
  </si>
  <si>
    <t xml:space="preserve">Drake Maye</t>
  </si>
  <si>
    <t xml:space="preserve">CBS Mean</t>
  </si>
  <si>
    <t xml:space="preserve">Patrick Mahomes II</t>
  </si>
  <si>
    <t xml:space="preserve">CBS StDev</t>
  </si>
  <si>
    <t xml:space="preserve">Joe Burrow</t>
  </si>
  <si>
    <t xml:space="preserve">FP Mean</t>
  </si>
  <si>
    <t xml:space="preserve">Trevor Lawrence</t>
  </si>
  <si>
    <t xml:space="preserve">FP StDev</t>
  </si>
  <si>
    <t xml:space="preserve">Jared Goff</t>
  </si>
  <si>
    <t xml:space="preserve">RSJ Mean</t>
  </si>
  <si>
    <t xml:space="preserve">USA Mean</t>
  </si>
  <si>
    <t xml:space="preserve">Caleb Williams</t>
  </si>
  <si>
    <t xml:space="preserve">RSJ StDev</t>
  </si>
  <si>
    <t xml:space="preserve">USA StDev</t>
  </si>
  <si>
    <t xml:space="preserve">Dak Prescott</t>
  </si>
  <si>
    <t xml:space="preserve">Target Mean (anchor sites, median)</t>
  </si>
  <si>
    <t xml:space="preserve">Jayden Daniels</t>
  </si>
  <si>
    <t xml:space="preserve">Target StDev (anchor sites, median)</t>
  </si>
  <si>
    <t xml:space="preserve">Bryce Young</t>
  </si>
  <si>
    <t xml:space="preserve">Jalen Hurts</t>
  </si>
  <si>
    <t xml:space="preserve">Tyler Shough</t>
  </si>
  <si>
    <t xml:space="preserve">Matthew Stafford</t>
  </si>
  <si>
    <t xml:space="preserve">Jordan Love</t>
  </si>
  <si>
    <t xml:space="preserve">Kirk Cousins</t>
  </si>
  <si>
    <t xml:space="preserve">C.J. Stroud</t>
  </si>
  <si>
    <t xml:space="preserve">Aaron Rodgers</t>
  </si>
  <si>
    <t xml:space="preserve">Kyler Murray</t>
  </si>
  <si>
    <t xml:space="preserve">Deshaun Watson</t>
  </si>
  <si>
    <t xml:space="preserve">Jacoby Brissett</t>
  </si>
  <si>
    <t xml:space="preserve">Geno Smith</t>
  </si>
  <si>
    <t xml:space="preserve">Bo Nix</t>
  </si>
  <si>
    <t xml:space="preserve">Baker Mayfield</t>
  </si>
  <si>
    <t xml:space="preserve">Malik Willis</t>
  </si>
  <si>
    <t xml:space="preserve">Cam Ward</t>
  </si>
  <si>
    <t xml:space="preserve">Sam Darnold</t>
  </si>
  <si>
    <t xml:space="preserve">Jameis Winston</t>
  </si>
  <si>
    <t xml:space="preserve">Justin Herbert</t>
  </si>
  <si>
    <t xml:space="preserve">Daniel Jones</t>
  </si>
  <si>
    <t xml:space="preserve">Michael Penix Jr.</t>
  </si>
  <si>
    <t xml:space="preserve">RB — PPR</t>
  </si>
  <si>
    <t xml:space="preserve">RB — HALF</t>
  </si>
  <si>
    <t xml:space="preserve">RB — STD</t>
  </si>
  <si>
    <t xml:space="preserve">RSJ Half-PPR and FP full-PPR are estimated (purple) when reliable — see Methodology.</t>
  </si>
  <si>
    <t xml:space="preserve">Standard scoring uses a 2-source minimum (CBS + USA Today only), not the 3-source minimum used everywhere else on this sheet — only 2 sites publish Standard at all, so 3 would mean this section is always empty.</t>
  </si>
  <si>
    <t xml:space="preserve">RB</t>
  </si>
  <si>
    <t xml:space="preserve">Jahmyr Gibbs</t>
  </si>
  <si>
    <t xml:space="preserve">Bijan Robinson</t>
  </si>
  <si>
    <t xml:space="preserve">Kenneth Walker III</t>
  </si>
  <si>
    <t xml:space="preserve">Jonathan Taylor</t>
  </si>
  <si>
    <t xml:space="preserve">Derrick Henry</t>
  </si>
  <si>
    <t xml:space="preserve">James Cook III</t>
  </si>
  <si>
    <t xml:space="preserve">Christian McCaffrey</t>
  </si>
  <si>
    <t xml:space="preserve">Kyren Williams</t>
  </si>
  <si>
    <t xml:space="preserve">Javonte Williams</t>
  </si>
  <si>
    <t xml:space="preserve">Jaylen Warren</t>
  </si>
  <si>
    <t xml:space="preserve">Chuba Hubbard</t>
  </si>
  <si>
    <t xml:space="preserve">Ashton Jeanty</t>
  </si>
  <si>
    <t xml:space="preserve">D'Andre Swift</t>
  </si>
  <si>
    <t xml:space="preserve">Chase Brown</t>
  </si>
  <si>
    <t xml:space="preserve">Breece Hall</t>
  </si>
  <si>
    <t xml:space="preserve">Bhayshul Tuten</t>
  </si>
  <si>
    <t xml:space="preserve">Bucky Irving</t>
  </si>
  <si>
    <t xml:space="preserve">Saquon Barkley</t>
  </si>
  <si>
    <t xml:space="preserve">Rhamondre Stevenson</t>
  </si>
  <si>
    <t xml:space="preserve">Jeremiyah Love</t>
  </si>
  <si>
    <t xml:space="preserve">Cam Skattebo</t>
  </si>
  <si>
    <t xml:space="preserve">Quinshon Judkins</t>
  </si>
  <si>
    <t xml:space="preserve">Aaron Jones Sr.</t>
  </si>
  <si>
    <t xml:space="preserve">Omarion Hampton</t>
  </si>
  <si>
    <t xml:space="preserve">Josh Jacobs</t>
  </si>
  <si>
    <t xml:space="preserve">Ollie Gordon II</t>
  </si>
  <si>
    <t xml:space="preserve">Kyle Monangai</t>
  </si>
  <si>
    <t xml:space="preserve">Woody Marks</t>
  </si>
  <si>
    <t xml:space="preserve">Jacory Croskey-Merritt</t>
  </si>
  <si>
    <t xml:space="preserve">J.K. Dobbins</t>
  </si>
  <si>
    <t xml:space="preserve">Travis Etienne Jr.</t>
  </si>
  <si>
    <t xml:space="preserve">Tony Pollard</t>
  </si>
  <si>
    <t xml:space="preserve">Jordan Mason</t>
  </si>
  <si>
    <t xml:space="preserve">Emanuel Wilson</t>
  </si>
  <si>
    <t xml:space="preserve">David Montgomery</t>
  </si>
  <si>
    <t xml:space="preserve">TreVeyon Henderson</t>
  </si>
  <si>
    <t xml:space="preserve">Braelon Allen</t>
  </si>
  <si>
    <t xml:space="preserve">Zach Charbonnet</t>
  </si>
  <si>
    <t xml:space="preserve">Blake Corum</t>
  </si>
  <si>
    <t xml:space="preserve">Brian Robinson Jr.</t>
  </si>
  <si>
    <t xml:space="preserve">RJ Harvey</t>
  </si>
  <si>
    <t xml:space="preserve">MarShawn Lloyd</t>
  </si>
  <si>
    <t xml:space="preserve">Alvin Kamara</t>
  </si>
  <si>
    <t xml:space="preserve">Emmett Johnson</t>
  </si>
  <si>
    <t xml:space="preserve">Kaelon Black</t>
  </si>
  <si>
    <t xml:space="preserve">Keaton Mitchell</t>
  </si>
  <si>
    <t xml:space="preserve">Jadarian Price</t>
  </si>
  <si>
    <t xml:space="preserve">Rachaad White</t>
  </si>
  <si>
    <t xml:space="preserve">Jonathon Brooks</t>
  </si>
  <si>
    <t xml:space="preserve">Chris Rodriguez Jr.</t>
  </si>
  <si>
    <t xml:space="preserve">Tyler Allgeier</t>
  </si>
  <si>
    <t xml:space="preserve">Samaje Perine</t>
  </si>
  <si>
    <t xml:space="preserve">Mike Washington Jr.</t>
  </si>
  <si>
    <t xml:space="preserve">Kendre Miller</t>
  </si>
  <si>
    <t xml:space="preserve">Tyjae Spears</t>
  </si>
  <si>
    <t xml:space="preserve">Rico Dowdle</t>
  </si>
  <si>
    <t xml:space="preserve">Jonah Coleman</t>
  </si>
  <si>
    <t xml:space="preserve">Sean Tucker</t>
  </si>
  <si>
    <t xml:space="preserve">Ray Davis</t>
  </si>
  <si>
    <t xml:space="preserve">Jaylen Wright</t>
  </si>
  <si>
    <t xml:space="preserve">WR — PPR</t>
  </si>
  <si>
    <t xml:space="preserve">WR — HALF</t>
  </si>
  <si>
    <t xml:space="preserve">WR — STD</t>
  </si>
  <si>
    <t xml:space="preserve">WR</t>
  </si>
  <si>
    <t xml:space="preserve">Jaxon Smith-Njigba</t>
  </si>
  <si>
    <t xml:space="preserve">Puka Nacua</t>
  </si>
  <si>
    <t xml:space="preserve">Ja'Marr Chase</t>
  </si>
  <si>
    <t xml:space="preserve">Amon-Ra St. Brown</t>
  </si>
  <si>
    <t xml:space="preserve">CeeDee Lamb</t>
  </si>
  <si>
    <t xml:space="preserve">Chris Olave</t>
  </si>
  <si>
    <t xml:space="preserve">Justin Jefferson</t>
  </si>
  <si>
    <t xml:space="preserve">Drake London</t>
  </si>
  <si>
    <t xml:space="preserve">Zay Flowers</t>
  </si>
  <si>
    <t xml:space="preserve">Nico Collins</t>
  </si>
  <si>
    <t xml:space="preserve">Malik Nabers</t>
  </si>
  <si>
    <t xml:space="preserve">Christian Watson</t>
  </si>
  <si>
    <t xml:space="preserve">Parker Washington</t>
  </si>
  <si>
    <t xml:space="preserve">Garrett Wilson</t>
  </si>
  <si>
    <t xml:space="preserve">George Pickens</t>
  </si>
  <si>
    <t xml:space="preserve">Tetairoa McMillan</t>
  </si>
  <si>
    <t xml:space="preserve">Mike Evans</t>
  </si>
  <si>
    <t xml:space="preserve">DeVonta Smith</t>
  </si>
  <si>
    <t xml:space="preserve">A.J. Brown</t>
  </si>
  <si>
    <t xml:space="preserve">Matthew Golden</t>
  </si>
  <si>
    <t xml:space="preserve">Davante Adams</t>
  </si>
  <si>
    <t xml:space="preserve">Tee Higgins</t>
  </si>
  <si>
    <t xml:space="preserve">Michael Wilson</t>
  </si>
  <si>
    <t xml:space="preserve">DJ Moore</t>
  </si>
  <si>
    <t xml:space="preserve">Jalen Coker</t>
  </si>
  <si>
    <t xml:space="preserve">Rashee Rice</t>
  </si>
  <si>
    <t xml:space="preserve">Terry McLaurin</t>
  </si>
  <si>
    <t xml:space="preserve">Jameson Williams</t>
  </si>
  <si>
    <t xml:space="preserve">Ladd McConkey</t>
  </si>
  <si>
    <t xml:space="preserve">Luther Burden III</t>
  </si>
  <si>
    <t xml:space="preserve">Jaylen Waddle</t>
  </si>
  <si>
    <t xml:space="preserve">Denzel Boston</t>
  </si>
  <si>
    <t xml:space="preserve">Emeka Egbuka</t>
  </si>
  <si>
    <t xml:space="preserve">Carnell Tate</t>
  </si>
  <si>
    <t xml:space="preserve">DK Metcalf</t>
  </si>
  <si>
    <t xml:space="preserve">Rome Odunze</t>
  </si>
  <si>
    <t xml:space="preserve">Stefon Diggs</t>
  </si>
  <si>
    <t xml:space="preserve">Deebo Samuel Sr.</t>
  </si>
  <si>
    <t xml:space="preserve">Romeo Doubs</t>
  </si>
  <si>
    <t xml:space="preserve">Marvin Harrison Jr.</t>
  </si>
  <si>
    <t xml:space="preserve">Tyreek Hill</t>
  </si>
  <si>
    <t xml:space="preserve">Malik Washington</t>
  </si>
  <si>
    <t xml:space="preserve">Jordyn Tyson</t>
  </si>
  <si>
    <t xml:space="preserve">Jordan Addison</t>
  </si>
  <si>
    <t xml:space="preserve">Josh Downs</t>
  </si>
  <si>
    <t xml:space="preserve">Jakobi Meyers</t>
  </si>
  <si>
    <t xml:space="preserve">Wan'Dale Robinson</t>
  </si>
  <si>
    <t xml:space="preserve">KC Concepcion Jr.</t>
  </si>
  <si>
    <t xml:space="preserve">Khalil Shakir</t>
  </si>
  <si>
    <t xml:space="preserve">Adonai Mitchell</t>
  </si>
  <si>
    <t xml:space="preserve">Devaughn Vele</t>
  </si>
  <si>
    <t xml:space="preserve">Kendrick Bourne</t>
  </si>
  <si>
    <t xml:space="preserve">Germie Bernard</t>
  </si>
  <si>
    <t xml:space="preserve">Dontayvion Wicks</t>
  </si>
  <si>
    <t xml:space="preserve">Xavier Worthy</t>
  </si>
  <si>
    <t xml:space="preserve">Courtland Sutton</t>
  </si>
  <si>
    <t xml:space="preserve">Chris Godwin Jr.</t>
  </si>
  <si>
    <t xml:space="preserve">Makai Lemon</t>
  </si>
  <si>
    <t xml:space="preserve">Keenan Allen</t>
  </si>
  <si>
    <t xml:space="preserve">Keon Coleman</t>
  </si>
  <si>
    <t xml:space="preserve">Brian Thomas Jr.</t>
  </si>
  <si>
    <t xml:space="preserve">Tre Tucker</t>
  </si>
  <si>
    <t xml:space="preserve">Alec Pierce</t>
  </si>
  <si>
    <t xml:space="preserve">Antonio Williams</t>
  </si>
  <si>
    <t xml:space="preserve">Quentin Johnston</t>
  </si>
  <si>
    <t xml:space="preserve">Tre' Harris</t>
  </si>
  <si>
    <t xml:space="preserve">Rashid Shaheed</t>
  </si>
  <si>
    <t xml:space="preserve">Rashod Bateman</t>
  </si>
  <si>
    <t xml:space="preserve">Malachi Fields</t>
  </si>
  <si>
    <t xml:space="preserve">Caleb Douglas</t>
  </si>
  <si>
    <t xml:space="preserve">Chris Bell</t>
  </si>
  <si>
    <t xml:space="preserve">Roman Wilson</t>
  </si>
  <si>
    <t xml:space="preserve">Pat Bryant</t>
  </si>
  <si>
    <t xml:space="preserve">Kalif Raymond</t>
  </si>
  <si>
    <t xml:space="preserve">Michael Pittman Jr.</t>
  </si>
  <si>
    <t xml:space="preserve">Cyrus Allen</t>
  </si>
  <si>
    <t xml:space="preserve">Ryan Flournoy</t>
  </si>
  <si>
    <t xml:space="preserve">De'Zhaun Stribling</t>
  </si>
  <si>
    <t xml:space="preserve">Jauan Jennings</t>
  </si>
  <si>
    <t xml:space="preserve">Ja'Kobi Lane</t>
  </si>
  <si>
    <t xml:space="preserve">Jaylin Noel</t>
  </si>
  <si>
    <t xml:space="preserve">Kayshon Boutte</t>
  </si>
  <si>
    <t xml:space="preserve">Dohnte Meyers</t>
  </si>
  <si>
    <t xml:space="preserve">Ted Hurst III</t>
  </si>
  <si>
    <t xml:space="preserve">TE — PPR</t>
  </si>
  <si>
    <t xml:space="preserve">TE — HALF</t>
  </si>
  <si>
    <t xml:space="preserve">TE — STD</t>
  </si>
  <si>
    <t xml:space="preserve">TE</t>
  </si>
  <si>
    <t xml:space="preserve">Brock Bowers</t>
  </si>
  <si>
    <t xml:space="preserve">Trey McBride</t>
  </si>
  <si>
    <t xml:space="preserve">George Kittle</t>
  </si>
  <si>
    <t xml:space="preserve">Sam LaPorta</t>
  </si>
  <si>
    <t xml:space="preserve">Tyler Warren</t>
  </si>
  <si>
    <t xml:space="preserve">Isaiah Likely</t>
  </si>
  <si>
    <t xml:space="preserve">Dalton Kincaid</t>
  </si>
  <si>
    <t xml:space="preserve">Travis Kelce</t>
  </si>
  <si>
    <t xml:space="preserve">Tucker Kraft</t>
  </si>
  <si>
    <t xml:space="preserve">Juwan Johnson</t>
  </si>
  <si>
    <t xml:space="preserve">Dallas Goedert</t>
  </si>
  <si>
    <t xml:space="preserve">Harold Fannin Jr.</t>
  </si>
  <si>
    <t xml:space="preserve">Colston Loveland</t>
  </si>
  <si>
    <t xml:space="preserve">Hunter Henry</t>
  </si>
  <si>
    <t xml:space="preserve">Jake Ferguson</t>
  </si>
  <si>
    <t xml:space="preserve">Brenton Strange</t>
  </si>
  <si>
    <t xml:space="preserve">Tyler Higbee</t>
  </si>
  <si>
    <t xml:space="preserve">Pat Freiermuth</t>
  </si>
  <si>
    <t xml:space="preserve">Kyle Pitts Sr.</t>
  </si>
  <si>
    <t xml:space="preserve">Kenyon Sadiq</t>
  </si>
  <si>
    <t xml:space="preserve">Mark Andrews</t>
  </si>
  <si>
    <t xml:space="preserve">Dalton Schultz</t>
  </si>
  <si>
    <t xml:space="preserve">Mike Gesicki</t>
  </si>
  <si>
    <t xml:space="preserve">Oronde Gadsden II</t>
  </si>
  <si>
    <t xml:space="preserve">Chig Okonkwo</t>
  </si>
  <si>
    <t xml:space="preserve">Terrance Ferguson</t>
  </si>
  <si>
    <t xml:space="preserve">Darren Waller</t>
  </si>
  <si>
    <t xml:space="preserve">T.J. Hockenson</t>
  </si>
  <si>
    <t xml:space="preserve">Greg Dulcich</t>
  </si>
  <si>
    <t xml:space="preserve">AJ Barner</t>
  </si>
  <si>
    <t xml:space="preserve">Cade Otton</t>
  </si>
  <si>
    <t xml:space="preserve">Evan Engram</t>
  </si>
  <si>
    <t xml:space="preserve">Methodology — How These Values Are Built</t>
  </si>
  <si>
    <t xml:space="preserve">How the weekly values are calculated. Legend and Sources key at the bottom.</t>
  </si>
  <si>
    <t xml:space="preserve">How I consolidate 5 sites with different scales</t>
  </si>
  <si>
    <t xml:space="preserve">Each site rates players on its own arbitrary scale, and some run consistently</t>
  </si>
  <si>
    <t xml:space="preserve">higher or lower than others. I use z-score standardization to correct for this —</t>
  </si>
  <si>
    <t xml:space="preserve">converting each site’s values into how many standard deviations above or below</t>
  </si>
  <si>
    <t xml:space="preserve">that site’s own average, before blending. This is a standard statistical</t>
  </si>
  <si>
    <t xml:space="preserve">technique for combining ratings from different scales, not something arbitrary.</t>
  </si>
  <si>
    <t xml:space="preserve">The display scale</t>
  </si>
  <si>
    <t xml:space="preserve">After blending, I rescale onto a familiar, readable number — using a subset of</t>
  </si>
  <si>
    <t xml:space="preserve">sites with directly comparable raw scales as the reference point, calculated</t>
  </si>
  <si>
    <t xml:space="preserve">separately for each position (a top RB and a top TE carry different real-world</t>
  </si>
  <si>
    <t xml:space="preserve">trade value) and consistently across formats for the same position.</t>
  </si>
  <si>
    <t xml:space="preserve">Estimating a site’s missing format</t>
  </si>
  <si>
    <t xml:space="preserve">A couple of sites don’t publish both scoring formats for every player. Rather</t>
  </si>
  <si>
    <t xml:space="preserve">than leave that blank, I estimate the missing value using that specific</t>
  </si>
  <si>
    <t xml:space="preserve">player’s own observed relationship between formats, drawn from sites that do</t>
  </si>
  <si>
    <t xml:space="preserve">publish both — and only when those sites agree closely enough to trust the</t>
  </si>
  <si>
    <t xml:space="preserve">estimate. Estimated values are visually distinguished (different color) from</t>
  </si>
  <si>
    <t xml:space="preserve">real, directly-published ones, and flagged the same way in the source count.</t>
  </si>
  <si>
    <t xml:space="preserve">Not every site rates every player. Players are only included on this sheet if</t>
  </si>
  <si>
    <t xml:space="preserve">at least 3 sites (real and/or reliably estimated) rated them — a player is left</t>
  </si>
  <si>
    <t xml:space="preserve">off entirely if fewer than 3 sources cover them, rather than shown with a low</t>
  </si>
  <si>
    <t xml:space="preserve">number. Why: with 3+ sources, one outlier opinion gets balanced out by the</t>
  </si>
  <si>
    <t xml:space="preserve">others. With only 1–2, there’s nothing to balance it against — the number</t>
  </si>
  <si>
    <t xml:space="preserve">would really just be reflecting one or two sites’ opinions, not a genuine</t>
  </si>
  <si>
    <t xml:space="preserve">consensus, so it isn’t shown at all rather than shown unreliably.</t>
  </si>
  <si>
    <t xml:space="preserve">Standard scoring (RB/WR/TE tabs, third block)</t>
  </si>
  <si>
    <t xml:space="preserve">Only CBS and USA Today publish Standard scoring, so this one section uses a</t>
  </si>
  <si>
    <t xml:space="preserve">2-source minimum instead of the 3-source rule above — requiring 3 would mean</t>
  </si>
  <si>
    <t xml:space="preserve">this section is always empty, since 2 is the most any player could ever reach.</t>
  </si>
  <si>
    <t xml:space="preserve">Legend</t>
  </si>
  <si>
    <t xml:space="preserve">(C) — Current value — blue = real site data, purple = estimated (see above)</t>
  </si>
  <si>
    <t xml:space="preserve">(Norm) — Site’s value, normalized onto the shared display scale</t>
  </si>
  <si>
    <t xml:space="preserve">AVG (Normalized) — Consolidated ranking average</t>
  </si>
  <si>
    <t xml:space="preserve"># Sources — How many sites (real or reliably estimated) rated this player</t>
  </si>
  <si>
    <t xml:space="preserve">Sources</t>
  </si>
  <si>
    <t xml:space="preserve">YAH — Yahoo</t>
  </si>
  <si>
    <t xml:space="preserve">CBS — CBS Sports</t>
  </si>
  <si>
    <t xml:space="preserve">FP — FantasyPros</t>
  </si>
  <si>
    <t xml:space="preserve">RSJ — RotoStreetJournal</t>
  </si>
  <si>
    <t xml:space="preserve">USA — USA Today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</si>
</sst>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General"/>
    <numFmt numFmtId="167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7B2D8E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B2D8E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4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10"/>
    <col collapsed="false" customWidth="true" hidden="false" outlineLevel="0" max="6" min="6" style="1" width="11"/>
    <col collapsed="false" customWidth="true" hidden="false" outlineLevel="0" max="7" min="7" style="1" width="10"/>
    <col collapsed="false" customWidth="true" hidden="false" outlineLevel="0" max="8" min="8" style="1" width="11"/>
  </cols>
  <sheetData>
    <row r="1" customFormat="false" ht="17.35" hidden="false" customHeight="false" outlineLevel="0" collapsed="false">
      <c r="A1" s="2" t="s">
        <v>0</v>
      </c>
    </row>
    <row r="3" customFormat="false" ht="16.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5</v>
      </c>
    </row>
    <row r="5" customFormat="false" ht="15" hidden="false" customHeight="false" outlineLevel="0" collapsed="false">
      <c r="A5" s="5" t="n">
        <v>1</v>
      </c>
      <c r="B5" s="5" t="str">
        <f aca="false">QB!B6</f>
        <v>Josh Allen</v>
      </c>
      <c r="C5" s="6" t="n">
        <f aca="false">QB!C6</f>
        <v>32.1</v>
      </c>
      <c r="D5" s="7" t="n">
        <f aca="false">QB!D6</f>
        <v>5</v>
      </c>
      <c r="E5" s="6" t="n">
        <f aca="false">QB!V6</f>
        <v>71.9</v>
      </c>
      <c r="F5" s="7" t="n">
        <f aca="false">QB!W6</f>
        <v>4</v>
      </c>
    </row>
    <row r="6" customFormat="false" ht="15" hidden="false" customHeight="false" outlineLevel="0" collapsed="false">
      <c r="A6" s="5" t="n">
        <v>2</v>
      </c>
      <c r="B6" s="5" t="str">
        <f aca="false">QB!B7</f>
        <v>Brock Purdy</v>
      </c>
      <c r="C6" s="6" t="n">
        <f aca="false">QB!C7</f>
        <v>20.1</v>
      </c>
      <c r="D6" s="7" t="n">
        <f aca="false">QB!D7</f>
        <v>5</v>
      </c>
      <c r="E6" s="6" t="n">
        <f aca="false">QB!V7</f>
        <v>56.9</v>
      </c>
      <c r="F6" s="7" t="n">
        <f aca="false">QB!W7</f>
        <v>4</v>
      </c>
    </row>
    <row r="7" customFormat="false" ht="15" hidden="false" customHeight="false" outlineLevel="0" collapsed="false">
      <c r="A7" s="5" t="n">
        <v>3</v>
      </c>
      <c r="B7" s="5" t="str">
        <f aca="false">QB!B8</f>
        <v>Lamar Jackson</v>
      </c>
      <c r="C7" s="6" t="n">
        <f aca="false">QB!C8</f>
        <v>19.9</v>
      </c>
      <c r="D7" s="7" t="n">
        <f aca="false">QB!D8</f>
        <v>5</v>
      </c>
      <c r="E7" s="6" t="n">
        <f aca="false">QB!V8</f>
        <v>56.1</v>
      </c>
      <c r="F7" s="7" t="n">
        <f aca="false">QB!W8</f>
        <v>4</v>
      </c>
    </row>
    <row r="8" customFormat="false" ht="15" hidden="false" customHeight="false" outlineLevel="0" collapsed="false">
      <c r="A8" s="5" t="n">
        <v>4</v>
      </c>
      <c r="B8" s="5" t="str">
        <f aca="false">QB!B9</f>
        <v>Drake Maye</v>
      </c>
      <c r="C8" s="6" t="n">
        <f aca="false">QB!C9</f>
        <v>17.4</v>
      </c>
      <c r="D8" s="7" t="n">
        <f aca="false">QB!D9</f>
        <v>5</v>
      </c>
      <c r="E8" s="6" t="n">
        <f aca="false">QB!V9</f>
        <v>54</v>
      </c>
      <c r="F8" s="7" t="n">
        <f aca="false">QB!W9</f>
        <v>4</v>
      </c>
    </row>
    <row r="9" customFormat="false" ht="15" hidden="false" customHeight="false" outlineLevel="0" collapsed="false">
      <c r="A9" s="5" t="n">
        <v>5</v>
      </c>
      <c r="B9" s="5" t="str">
        <f aca="false">QB!B10</f>
        <v>Patrick Mahomes II</v>
      </c>
      <c r="C9" s="6" t="n">
        <f aca="false">QB!C10</f>
        <v>15.3</v>
      </c>
      <c r="D9" s="7" t="n">
        <f aca="false">QB!D10</f>
        <v>5</v>
      </c>
      <c r="E9" s="6" t="n">
        <f aca="false">QB!V10</f>
        <v>52.5</v>
      </c>
      <c r="F9" s="7" t="n">
        <f aca="false">QB!W10</f>
        <v>4</v>
      </c>
    </row>
    <row r="10" customFormat="false" ht="15" hidden="false" customHeight="false" outlineLevel="0" collapsed="false">
      <c r="A10" s="5" t="n">
        <v>6</v>
      </c>
      <c r="B10" s="5" t="str">
        <f aca="false">QB!B11</f>
        <v>Joe Burrow</v>
      </c>
      <c r="C10" s="6" t="n">
        <f aca="false">QB!C11</f>
        <v>14.6</v>
      </c>
      <c r="D10" s="7" t="n">
        <f aca="false">QB!D11</f>
        <v>5</v>
      </c>
      <c r="E10" s="6" t="n">
        <f aca="false">QB!V11</f>
        <v>53.4</v>
      </c>
      <c r="F10" s="7" t="n">
        <f aca="false">QB!W11</f>
        <v>4</v>
      </c>
    </row>
    <row r="11" customFormat="false" ht="15" hidden="false" customHeight="false" outlineLevel="0" collapsed="false">
      <c r="A11" s="5" t="n">
        <v>7</v>
      </c>
      <c r="B11" s="5" t="str">
        <f aca="false">QB!B12</f>
        <v>Trevor Lawrence</v>
      </c>
      <c r="C11" s="6" t="n">
        <f aca="false">QB!C12</f>
        <v>13.9</v>
      </c>
      <c r="D11" s="7" t="n">
        <f aca="false">QB!D12</f>
        <v>5</v>
      </c>
      <c r="E11" s="6" t="n">
        <f aca="false">QB!V12</f>
        <v>49</v>
      </c>
      <c r="F11" s="7" t="n">
        <f aca="false">QB!W12</f>
        <v>4</v>
      </c>
    </row>
    <row r="12" customFormat="false" ht="15" hidden="false" customHeight="false" outlineLevel="0" collapsed="false">
      <c r="A12" s="5" t="n">
        <v>8</v>
      </c>
      <c r="B12" s="5" t="str">
        <f aca="false">QB!B13</f>
        <v>Jared Goff</v>
      </c>
      <c r="C12" s="6" t="n">
        <f aca="false">QB!C13</f>
        <v>12</v>
      </c>
      <c r="D12" s="7" t="n">
        <f aca="false">QB!D13</f>
        <v>5</v>
      </c>
      <c r="E12" s="6" t="n">
        <f aca="false">QB!V13</f>
        <v>49.5</v>
      </c>
      <c r="F12" s="7" t="n">
        <f aca="false">QB!W13</f>
        <v>4</v>
      </c>
    </row>
    <row r="13" customFormat="false" ht="15" hidden="false" customHeight="false" outlineLevel="0" collapsed="false">
      <c r="A13" s="5" t="n">
        <v>9</v>
      </c>
      <c r="B13" s="5" t="str">
        <f aca="false">QB!B14</f>
        <v>Caleb Williams</v>
      </c>
      <c r="C13" s="6" t="n">
        <f aca="false">QB!C14</f>
        <v>11.5</v>
      </c>
      <c r="D13" s="7" t="n">
        <f aca="false">QB!D14</f>
        <v>5</v>
      </c>
      <c r="E13" s="6" t="n">
        <f aca="false">QB!V14</f>
        <v>50.7</v>
      </c>
      <c r="F13" s="7" t="n">
        <f aca="false">QB!W14</f>
        <v>4</v>
      </c>
    </row>
    <row r="14" customFormat="false" ht="15" hidden="false" customHeight="false" outlineLevel="0" collapsed="false">
      <c r="A14" s="5" t="n">
        <v>10</v>
      </c>
      <c r="B14" s="5" t="str">
        <f aca="false">QB!B15</f>
        <v>Dak Prescott</v>
      </c>
      <c r="C14" s="6" t="n">
        <f aca="false">QB!C15</f>
        <v>11</v>
      </c>
      <c r="D14" s="7" t="n">
        <f aca="false">QB!D15</f>
        <v>5</v>
      </c>
      <c r="E14" s="6" t="n">
        <f aca="false">QB!V15</f>
        <v>48.9</v>
      </c>
      <c r="F14" s="7" t="n">
        <f aca="false">QB!W15</f>
        <v>4</v>
      </c>
    </row>
    <row r="15" customFormat="false" ht="15" hidden="false" customHeight="false" outlineLevel="0" collapsed="false">
      <c r="A15" s="5" t="n">
        <v>11</v>
      </c>
      <c r="B15" s="5" t="str">
        <f aca="false">QB!B16</f>
        <v>Jayden Daniels</v>
      </c>
      <c r="C15" s="6" t="n">
        <f aca="false">QB!C16</f>
        <v>8.9</v>
      </c>
      <c r="D15" s="7" t="n">
        <f aca="false">QB!D16</f>
        <v>5</v>
      </c>
      <c r="E15" s="6" t="n">
        <f aca="false">QB!V16</f>
        <v>47.2</v>
      </c>
      <c r="F15" s="7" t="n">
        <f aca="false">QB!W16</f>
        <v>4</v>
      </c>
    </row>
    <row r="16" customFormat="false" ht="15" hidden="false" customHeight="false" outlineLevel="0" collapsed="false">
      <c r="A16" s="5" t="n">
        <v>12</v>
      </c>
      <c r="B16" s="5" t="str">
        <f aca="false">QB!B17</f>
        <v>Bryce Young</v>
      </c>
      <c r="C16" s="6" t="n">
        <f aca="false">QB!C17</f>
        <v>8.2</v>
      </c>
      <c r="D16" s="7" t="n">
        <f aca="false">QB!D17</f>
        <v>5</v>
      </c>
      <c r="E16" s="6" t="n">
        <f aca="false">QB!V17</f>
        <v>45.2</v>
      </c>
      <c r="F16" s="7" t="n">
        <f aca="false">QB!W17</f>
        <v>4</v>
      </c>
    </row>
    <row r="17" customFormat="false" ht="15" hidden="false" customHeight="false" outlineLevel="0" collapsed="false">
      <c r="A17" s="5" t="n">
        <v>13</v>
      </c>
      <c r="B17" s="5" t="str">
        <f aca="false">QB!B18</f>
        <v>Jalen Hurts</v>
      </c>
      <c r="C17" s="6" t="n">
        <f aca="false">QB!C18</f>
        <v>7.6</v>
      </c>
      <c r="D17" s="7" t="n">
        <f aca="false">QB!D18</f>
        <v>4</v>
      </c>
      <c r="E17" s="6" t="n">
        <f aca="false">QB!V18</f>
        <v>41.3</v>
      </c>
      <c r="F17" s="7" t="n">
        <f aca="false">QB!W18</f>
        <v>4</v>
      </c>
    </row>
    <row r="18" customFormat="false" ht="15" hidden="false" customHeight="false" outlineLevel="0" collapsed="false">
      <c r="A18" s="5" t="n">
        <v>14</v>
      </c>
      <c r="B18" s="5" t="str">
        <f aca="false">QB!B19</f>
        <v>Tyler Shough</v>
      </c>
      <c r="C18" s="6" t="n">
        <f aca="false">QB!C19</f>
        <v>7.6</v>
      </c>
      <c r="D18" s="7" t="n">
        <f aca="false">QB!D19</f>
        <v>4</v>
      </c>
      <c r="E18" s="6" t="n">
        <f aca="false">QB!V19</f>
        <v>41.5</v>
      </c>
      <c r="F18" s="7" t="n">
        <f aca="false">QB!W19</f>
        <v>4</v>
      </c>
    </row>
    <row r="19" customFormat="false" ht="15" hidden="false" customHeight="false" outlineLevel="0" collapsed="false">
      <c r="A19" s="5" t="n">
        <v>15</v>
      </c>
      <c r="B19" s="5" t="str">
        <f aca="false">QB!B20</f>
        <v>Matthew Stafford</v>
      </c>
      <c r="C19" s="6" t="n">
        <f aca="false">QB!C20</f>
        <v>7</v>
      </c>
      <c r="D19" s="7" t="n">
        <f aca="false">QB!D20</f>
        <v>5</v>
      </c>
      <c r="E19" s="6" t="n">
        <f aca="false">QB!V20</f>
        <v>44.7</v>
      </c>
      <c r="F19" s="7" t="n">
        <f aca="false">QB!W20</f>
        <v>4</v>
      </c>
    </row>
    <row r="20" customFormat="false" ht="15" hidden="false" customHeight="false" outlineLevel="0" collapsed="false">
      <c r="A20" s="5" t="n">
        <v>16</v>
      </c>
      <c r="B20" s="5" t="str">
        <f aca="false">QB!B21</f>
        <v>Jordan Love</v>
      </c>
      <c r="C20" s="6" t="n">
        <f aca="false">QB!C21</f>
        <v>4.5</v>
      </c>
      <c r="D20" s="7" t="n">
        <f aca="false">QB!D21</f>
        <v>5</v>
      </c>
      <c r="E20" s="6" t="n">
        <f aca="false">QB!V21</f>
        <v>40.9</v>
      </c>
      <c r="F20" s="7" t="n">
        <f aca="false">QB!W21</f>
        <v>4</v>
      </c>
    </row>
    <row r="21" customFormat="false" ht="15" hidden="false" customHeight="false" outlineLevel="0" collapsed="false">
      <c r="A21" s="5" t="n">
        <v>17</v>
      </c>
      <c r="B21" s="5" t="str">
        <f aca="false">QB!B22</f>
        <v>Kirk Cousins</v>
      </c>
      <c r="C21" s="6" t="n">
        <f aca="false">QB!C22</f>
        <v>3.5</v>
      </c>
      <c r="D21" s="7" t="n">
        <f aca="false">QB!D22</f>
        <v>4</v>
      </c>
      <c r="E21" s="6" t="n">
        <f aca="false">QB!V22</f>
        <v>34.6</v>
      </c>
      <c r="F21" s="7" t="n">
        <f aca="false">QB!W22</f>
        <v>4</v>
      </c>
    </row>
    <row r="22" customFormat="false" ht="15" hidden="false" customHeight="false" outlineLevel="0" collapsed="false">
      <c r="A22" s="5" t="n">
        <v>18</v>
      </c>
      <c r="B22" s="5" t="str">
        <f aca="false">QB!B23</f>
        <v>C.J. Stroud</v>
      </c>
      <c r="C22" s="6" t="n">
        <f aca="false">QB!C23</f>
        <v>3.1</v>
      </c>
      <c r="D22" s="7" t="n">
        <f aca="false">QB!D23</f>
        <v>4</v>
      </c>
      <c r="E22" s="6" t="n">
        <f aca="false">QB!V23</f>
        <v>38.6</v>
      </c>
      <c r="F22" s="7" t="n">
        <f aca="false">QB!W23</f>
        <v>4</v>
      </c>
    </row>
    <row r="23" customFormat="false" ht="15" hidden="false" customHeight="false" outlineLevel="0" collapsed="false">
      <c r="A23" s="5" t="n">
        <v>19</v>
      </c>
      <c r="B23" s="5" t="str">
        <f aca="false">QB!B24</f>
        <v>Aaron Rodgers</v>
      </c>
      <c r="C23" s="6" t="n">
        <f aca="false">QB!C24</f>
        <v>3</v>
      </c>
      <c r="D23" s="7" t="n">
        <f aca="false">QB!D24</f>
        <v>4</v>
      </c>
      <c r="E23" s="6" t="n">
        <f aca="false">QB!V24</f>
        <v>34.9</v>
      </c>
      <c r="F23" s="7" t="n">
        <f aca="false">QB!W24</f>
        <v>4</v>
      </c>
    </row>
    <row r="24" customFormat="false" ht="15" hidden="false" customHeight="false" outlineLevel="0" collapsed="false">
      <c r="A24" s="5" t="n">
        <v>20</v>
      </c>
      <c r="B24" s="5" t="str">
        <f aca="false">QB!B25</f>
        <v>Kyler Murray</v>
      </c>
      <c r="C24" s="6" t="n">
        <f aca="false">QB!C25</f>
        <v>2.7</v>
      </c>
      <c r="D24" s="7" t="n">
        <f aca="false">QB!D25</f>
        <v>4</v>
      </c>
      <c r="E24" s="6" t="n">
        <f aca="false">QB!V25</f>
        <v>35.9</v>
      </c>
      <c r="F24" s="7" t="n">
        <f aca="false">QB!W25</f>
        <v>4</v>
      </c>
    </row>
    <row r="25" customFormat="false" ht="15" hidden="false" customHeight="false" outlineLevel="0" collapsed="false">
      <c r="A25" s="5" t="n">
        <v>21</v>
      </c>
      <c r="B25" s="5" t="str">
        <f aca="false">QB!B26</f>
        <v>Deshaun Watson</v>
      </c>
      <c r="C25" s="6" t="n">
        <f aca="false">QB!C26</f>
        <v>2.4</v>
      </c>
      <c r="D25" s="7" t="n">
        <f aca="false">QB!D26</f>
        <v>3</v>
      </c>
      <c r="E25" s="6" t="n">
        <f aca="false">QB!V26</f>
        <v>25.3</v>
      </c>
      <c r="F25" s="7" t="n">
        <f aca="false">QB!W26</f>
        <v>4</v>
      </c>
    </row>
    <row r="26" customFormat="false" ht="15" hidden="false" customHeight="false" outlineLevel="0" collapsed="false">
      <c r="A26" s="5" t="n">
        <v>22</v>
      </c>
      <c r="B26" s="5" t="str">
        <f aca="false">QB!B27</f>
        <v>Jacoby Brissett</v>
      </c>
      <c r="C26" s="6" t="n">
        <f aca="false">QB!C27</f>
        <v>2</v>
      </c>
      <c r="D26" s="7" t="n">
        <f aca="false">QB!D27</f>
        <v>4</v>
      </c>
      <c r="E26" s="6" t="n">
        <f aca="false">QB!V27</f>
        <v>33.9</v>
      </c>
      <c r="F26" s="7" t="n">
        <f aca="false">QB!W27</f>
        <v>4</v>
      </c>
    </row>
    <row r="27" customFormat="false" ht="15" hidden="false" customHeight="false" outlineLevel="0" collapsed="false">
      <c r="A27" s="5" t="n">
        <v>23</v>
      </c>
      <c r="B27" s="5" t="str">
        <f aca="false">QB!B28</f>
        <v>Geno Smith</v>
      </c>
      <c r="C27" s="6" t="n">
        <f aca="false">QB!C28</f>
        <v>1.9</v>
      </c>
      <c r="D27" s="7" t="n">
        <f aca="false">QB!D28</f>
        <v>3</v>
      </c>
      <c r="E27" s="6" t="n">
        <f aca="false">QB!V28</f>
        <v>28.7</v>
      </c>
      <c r="F27" s="7" t="n">
        <f aca="false">QB!W28</f>
        <v>4</v>
      </c>
    </row>
    <row r="28" customFormat="false" ht="15" hidden="false" customHeight="false" outlineLevel="0" collapsed="false">
      <c r="A28" s="5" t="n">
        <v>24</v>
      </c>
      <c r="B28" s="5" t="str">
        <f aca="false">QB!B29</f>
        <v>Bo Nix</v>
      </c>
      <c r="C28" s="6" t="n">
        <f aca="false">QB!C29</f>
        <v>1.6</v>
      </c>
      <c r="D28" s="7" t="n">
        <f aca="false">QB!D29</f>
        <v>4</v>
      </c>
      <c r="E28" s="6" t="n">
        <f aca="false">QB!V29</f>
        <v>34.2</v>
      </c>
      <c r="F28" s="7" t="n">
        <f aca="false">QB!W29</f>
        <v>4</v>
      </c>
    </row>
    <row r="29" customFormat="false" ht="15" hidden="false" customHeight="false" outlineLevel="0" collapsed="false">
      <c r="A29" s="5" t="n">
        <v>25</v>
      </c>
      <c r="B29" s="5" t="str">
        <f aca="false">QB!B30</f>
        <v>Baker Mayfield</v>
      </c>
      <c r="C29" s="6" t="n">
        <f aca="false">QB!C30</f>
        <v>1.6</v>
      </c>
      <c r="D29" s="7" t="n">
        <f aca="false">QB!D30</f>
        <v>3</v>
      </c>
      <c r="E29" s="6" t="n">
        <f aca="false">QB!V30</f>
        <v>27.8</v>
      </c>
      <c r="F29" s="7" t="n">
        <f aca="false">QB!W30</f>
        <v>4</v>
      </c>
    </row>
    <row r="30" customFormat="false" ht="15" hidden="false" customHeight="false" outlineLevel="0" collapsed="false">
      <c r="A30" s="5" t="n">
        <v>26</v>
      </c>
      <c r="B30" s="5" t="str">
        <f aca="false">QB!B31</f>
        <v>Malik Willis</v>
      </c>
      <c r="C30" s="6" t="n">
        <f aca="false">QB!C31</f>
        <v>1.6</v>
      </c>
      <c r="D30" s="7" t="n">
        <f aca="false">QB!D31</f>
        <v>3</v>
      </c>
      <c r="E30" s="6" t="n">
        <f aca="false">QB!V31</f>
        <v>30.3</v>
      </c>
      <c r="F30" s="7" t="n">
        <f aca="false">QB!W31</f>
        <v>4</v>
      </c>
    </row>
    <row r="31" customFormat="false" ht="15" hidden="false" customHeight="false" outlineLevel="0" collapsed="false">
      <c r="A31" s="5" t="n">
        <v>27</v>
      </c>
      <c r="B31" s="5" t="str">
        <f aca="false">QB!B32</f>
        <v>Cam Ward</v>
      </c>
      <c r="C31" s="6" t="n">
        <f aca="false">QB!C32</f>
        <v>1.6</v>
      </c>
      <c r="D31" s="7" t="n">
        <f aca="false">QB!D32</f>
        <v>3</v>
      </c>
      <c r="E31" s="6" t="n">
        <f aca="false">QB!V32</f>
        <v>19.3</v>
      </c>
      <c r="F31" s="7" t="n">
        <f aca="false">QB!W32</f>
        <v>4</v>
      </c>
    </row>
    <row r="32" customFormat="false" ht="15" hidden="false" customHeight="false" outlineLevel="0" collapsed="false">
      <c r="A32" s="5" t="n">
        <v>28</v>
      </c>
      <c r="B32" s="5" t="str">
        <f aca="false">QB!B33</f>
        <v>Sam Darnold</v>
      </c>
      <c r="C32" s="6" t="n">
        <f aca="false">QB!C33</f>
        <v>1.6</v>
      </c>
      <c r="D32" s="7" t="n">
        <f aca="false">QB!D33</f>
        <v>4</v>
      </c>
      <c r="E32" s="6" t="n">
        <f aca="false">QB!V33</f>
        <v>34.4</v>
      </c>
      <c r="F32" s="7" t="n">
        <f aca="false">QB!W33</f>
        <v>4</v>
      </c>
    </row>
    <row r="33" customFormat="false" ht="15" hidden="false" customHeight="false" outlineLevel="0" collapsed="false">
      <c r="A33" s="5" t="n">
        <v>29</v>
      </c>
      <c r="B33" s="5" t="str">
        <f aca="false">QB!B34</f>
        <v>Jameis Winston</v>
      </c>
      <c r="C33" s="6" t="n">
        <f aca="false">QB!C34</f>
        <v>1.6</v>
      </c>
      <c r="D33" s="7" t="n">
        <f aca="false">QB!D34</f>
        <v>4</v>
      </c>
      <c r="E33" s="6" t="n">
        <f aca="false">QB!V34</f>
        <v>30.5</v>
      </c>
      <c r="F33" s="7" t="n">
        <f aca="false">QB!W34</f>
        <v>4</v>
      </c>
    </row>
    <row r="34" customFormat="false" ht="15" hidden="false" customHeight="false" outlineLevel="0" collapsed="false">
      <c r="A34" s="5" t="n">
        <v>30</v>
      </c>
      <c r="B34" s="5" t="str">
        <f aca="false">QB!B35</f>
        <v>Justin Herbert</v>
      </c>
      <c r="C34" s="6" t="n">
        <f aca="false">QB!C35</f>
        <v>1.4</v>
      </c>
      <c r="D34" s="7" t="n">
        <f aca="false">QB!D35</f>
        <v>4</v>
      </c>
      <c r="E34" s="6" t="n">
        <f aca="false">QB!V35</f>
        <v>32.2</v>
      </c>
      <c r="F34" s="7" t="n">
        <f aca="false">QB!W35</f>
        <v>4</v>
      </c>
    </row>
    <row r="35" customFormat="false" ht="15" hidden="false" customHeight="false" outlineLevel="0" collapsed="false">
      <c r="A35" s="5" t="n">
        <v>31</v>
      </c>
      <c r="B35" s="5" t="str">
        <f aca="false">QB!B36</f>
        <v>Daniel Jones</v>
      </c>
      <c r="C35" s="6" t="n">
        <f aca="false">QB!C36</f>
        <v>0.8</v>
      </c>
      <c r="D35" s="7" t="n">
        <f aca="false">QB!D36</f>
        <v>4</v>
      </c>
      <c r="E35" s="6" t="n">
        <f aca="false">QB!V36</f>
        <v>25.3</v>
      </c>
      <c r="F35" s="7" t="n">
        <f aca="false">QB!W36</f>
        <v>4</v>
      </c>
    </row>
    <row r="36" customFormat="false" ht="15" hidden="false" customHeight="false" outlineLevel="0" collapsed="false">
      <c r="A36" s="5" t="n">
        <v>32</v>
      </c>
      <c r="B36" s="5" t="str">
        <f aca="false">QB!B37</f>
        <v>Michael Penix Jr.</v>
      </c>
      <c r="C36" s="6" t="n">
        <f aca="false">QB!C37</f>
        <v>0.6</v>
      </c>
      <c r="D36" s="7" t="n">
        <f aca="false">QB!D37</f>
        <v>4</v>
      </c>
      <c r="E36" s="6" t="n">
        <f aca="false">QB!V37</f>
        <v>31.5</v>
      </c>
      <c r="F36" s="7" t="n">
        <f aca="false">QB!W37</f>
        <v>4</v>
      </c>
    </row>
    <row r="39" customFormat="false" ht="16.15" hidden="false" customHeight="false" outlineLevel="0" collapsed="false">
      <c r="A39" s="3" t="s">
        <v>7</v>
      </c>
    </row>
    <row r="40" customFormat="false" ht="15" hidden="false" customHeight="false" outlineLevel="0" collapsed="false">
      <c r="A40" s="4" t="s">
        <v>2</v>
      </c>
      <c r="B40" s="4" t="s">
        <v>3</v>
      </c>
      <c r="C40" s="4" t="s">
        <v>8</v>
      </c>
      <c r="D40" s="4" t="s">
        <v>5</v>
      </c>
      <c r="E40" s="4" t="s">
        <v>9</v>
      </c>
      <c r="F40" s="4" t="s">
        <v>5</v>
      </c>
      <c r="G40" s="4" t="s">
        <v>10</v>
      </c>
      <c r="H40" s="4" t="s">
        <v>5</v>
      </c>
    </row>
    <row r="41" customFormat="false" ht="15" hidden="false" customHeight="false" outlineLevel="0" collapsed="false">
      <c r="A41" s="5" t="n">
        <v>1</v>
      </c>
      <c r="B41" s="5" t="str">
        <f aca="false">RB!B6</f>
        <v>Jahmyr Gibbs</v>
      </c>
      <c r="C41" s="6" t="n">
        <f aca="false">RB!C6</f>
        <v>81.8</v>
      </c>
      <c r="D41" s="7" t="n">
        <f aca="false">RB!D6</f>
        <v>5</v>
      </c>
      <c r="E41" s="6" t="n">
        <f aca="false">RB!V6</f>
        <v>79.3</v>
      </c>
      <c r="F41" s="7" t="n">
        <f aca="false">RB!W6</f>
        <v>5</v>
      </c>
      <c r="G41" s="6" t="n">
        <f aca="false">RB!AO6</f>
        <v>59.7</v>
      </c>
      <c r="H41" s="7" t="n">
        <f aca="false">RB!AP6</f>
        <v>2</v>
      </c>
    </row>
    <row r="42" customFormat="false" ht="15" hidden="false" customHeight="false" outlineLevel="0" collapsed="false">
      <c r="A42" s="5" t="n">
        <v>2</v>
      </c>
      <c r="B42" s="5" t="str">
        <f aca="false">RB!B7</f>
        <v>Bijan Robinson</v>
      </c>
      <c r="C42" s="6" t="n">
        <f aca="false">RB!C7</f>
        <v>75.8</v>
      </c>
      <c r="D42" s="7" t="n">
        <f aca="false">RB!D7</f>
        <v>5</v>
      </c>
      <c r="E42" s="6" t="n">
        <f aca="false">RB!V7</f>
        <v>73.8</v>
      </c>
      <c r="F42" s="7" t="n">
        <f aca="false">RB!W7</f>
        <v>5</v>
      </c>
      <c r="G42" s="6" t="n">
        <f aca="false">RB!AO7</f>
        <v>56.9</v>
      </c>
      <c r="H42" s="7" t="n">
        <f aca="false">RB!AP7</f>
        <v>2</v>
      </c>
    </row>
    <row r="43" customFormat="false" ht="15" hidden="false" customHeight="false" outlineLevel="0" collapsed="false">
      <c r="A43" s="5" t="n">
        <v>3</v>
      </c>
      <c r="B43" s="5" t="str">
        <f aca="false">RB!B8</f>
        <v>Kenneth Walker III</v>
      </c>
      <c r="C43" s="6" t="n">
        <f aca="false">RB!C8</f>
        <v>73.1</v>
      </c>
      <c r="D43" s="7" t="n">
        <f aca="false">RB!D8</f>
        <v>5</v>
      </c>
      <c r="E43" s="6" t="n">
        <f aca="false">RB!V8</f>
        <v>71.1</v>
      </c>
      <c r="F43" s="7" t="n">
        <f aca="false">RB!W8</f>
        <v>5</v>
      </c>
      <c r="G43" s="6" t="n">
        <f aca="false">RB!AO8</f>
        <v>55</v>
      </c>
      <c r="H43" s="7" t="n">
        <f aca="false">RB!AP8</f>
        <v>2</v>
      </c>
    </row>
    <row r="44" customFormat="false" ht="15" hidden="false" customHeight="false" outlineLevel="0" collapsed="false">
      <c r="A44" s="5" t="n">
        <v>4</v>
      </c>
      <c r="B44" s="5" t="str">
        <f aca="false">RB!B9</f>
        <v>Jonathan Taylor</v>
      </c>
      <c r="C44" s="6" t="n">
        <f aca="false">RB!C9</f>
        <v>59.4</v>
      </c>
      <c r="D44" s="7" t="n">
        <f aca="false">RB!D9</f>
        <v>5</v>
      </c>
      <c r="E44" s="6" t="n">
        <f aca="false">RB!V9</f>
        <v>58.2</v>
      </c>
      <c r="F44" s="7" t="n">
        <f aca="false">RB!W9</f>
        <v>5</v>
      </c>
      <c r="G44" s="6" t="n">
        <f aca="false">RB!AO11</f>
        <v>43.4</v>
      </c>
      <c r="H44" s="7" t="n">
        <f aca="false">RB!AP11</f>
        <v>2</v>
      </c>
    </row>
    <row r="45" customFormat="false" ht="15" hidden="false" customHeight="false" outlineLevel="0" collapsed="false">
      <c r="A45" s="5" t="n">
        <v>5</v>
      </c>
      <c r="B45" s="5" t="str">
        <f aca="false">RB!B10</f>
        <v>James Cook III</v>
      </c>
      <c r="C45" s="6" t="n">
        <f aca="false">RB!C10</f>
        <v>59.2</v>
      </c>
      <c r="D45" s="7" t="n">
        <f aca="false">RB!D10</f>
        <v>5</v>
      </c>
      <c r="E45" s="6" t="n">
        <f aca="false">RB!V10</f>
        <v>58.6</v>
      </c>
      <c r="F45" s="7" t="n">
        <f aca="false">RB!W10</f>
        <v>5</v>
      </c>
      <c r="G45" s="6" t="n">
        <f aca="false">RB!AO10</f>
        <v>44.8</v>
      </c>
      <c r="H45" s="7" t="n">
        <f aca="false">RB!AP10</f>
        <v>2</v>
      </c>
    </row>
    <row r="46" customFormat="false" ht="15" hidden="false" customHeight="false" outlineLevel="0" collapsed="false">
      <c r="A46" s="5" t="n">
        <v>6</v>
      </c>
      <c r="B46" s="5" t="str">
        <f aca="false">RB!B11</f>
        <v>Derrick Henry</v>
      </c>
      <c r="C46" s="6" t="n">
        <f aca="false">RB!C11</f>
        <v>58.2</v>
      </c>
      <c r="D46" s="7" t="n">
        <f aca="false">RB!D11</f>
        <v>5</v>
      </c>
      <c r="E46" s="6" t="n">
        <f aca="false">RB!V11</f>
        <v>58.1</v>
      </c>
      <c r="F46" s="7" t="n">
        <f aca="false">RB!W11</f>
        <v>5</v>
      </c>
      <c r="G46" s="6" t="n">
        <f aca="false">RB!AO9</f>
        <v>45.2</v>
      </c>
      <c r="H46" s="7" t="n">
        <f aca="false">RB!AP9</f>
        <v>2</v>
      </c>
    </row>
    <row r="47" customFormat="false" ht="15" hidden="false" customHeight="false" outlineLevel="0" collapsed="false">
      <c r="A47" s="5" t="n">
        <v>7</v>
      </c>
      <c r="B47" s="5" t="str">
        <f aca="false">RB!B12</f>
        <v>Christian McCaffrey</v>
      </c>
      <c r="C47" s="6" t="n">
        <f aca="false">RB!C12</f>
        <v>57.7</v>
      </c>
      <c r="D47" s="7" t="n">
        <f aca="false">RB!D12</f>
        <v>5</v>
      </c>
      <c r="E47" s="6" t="n">
        <f aca="false">RB!V12</f>
        <v>55.5</v>
      </c>
      <c r="F47" s="7" t="n">
        <f aca="false">RB!W12</f>
        <v>5</v>
      </c>
      <c r="G47" s="6" t="n">
        <f aca="false">RB!AO12</f>
        <v>41.4</v>
      </c>
      <c r="H47" s="7" t="n">
        <f aca="false">RB!AP12</f>
        <v>2</v>
      </c>
    </row>
    <row r="48" customFormat="false" ht="15" hidden="false" customHeight="false" outlineLevel="0" collapsed="false">
      <c r="A48" s="5" t="n">
        <v>8</v>
      </c>
      <c r="B48" s="5" t="str">
        <f aca="false">RB!B13</f>
        <v>Kyren Williams</v>
      </c>
      <c r="C48" s="6" t="n">
        <f aca="false">RB!C13</f>
        <v>52.8</v>
      </c>
      <c r="D48" s="7" t="n">
        <f aca="false">RB!D13</f>
        <v>5</v>
      </c>
      <c r="E48" s="6" t="n">
        <f aca="false">RB!V13</f>
        <v>51.2</v>
      </c>
      <c r="F48" s="7" t="n">
        <f aca="false">RB!W13</f>
        <v>5</v>
      </c>
      <c r="G48" s="6" t="n">
        <f aca="false">RB!AO13</f>
        <v>37.7</v>
      </c>
      <c r="H48" s="7" t="n">
        <f aca="false">RB!AP13</f>
        <v>2</v>
      </c>
    </row>
    <row r="49" customFormat="false" ht="15" hidden="false" customHeight="false" outlineLevel="0" collapsed="false">
      <c r="A49" s="5" t="n">
        <v>9</v>
      </c>
      <c r="B49" s="5" t="str">
        <f aca="false">RB!B14</f>
        <v>Javonte Williams</v>
      </c>
      <c r="C49" s="6" t="n">
        <f aca="false">RB!C14</f>
        <v>47.1</v>
      </c>
      <c r="D49" s="7" t="n">
        <f aca="false">RB!D14</f>
        <v>5</v>
      </c>
      <c r="E49" s="6" t="n">
        <f aca="false">RB!V14</f>
        <v>45.8</v>
      </c>
      <c r="F49" s="7" t="n">
        <f aca="false">RB!W14</f>
        <v>5</v>
      </c>
      <c r="G49" s="6" t="n">
        <f aca="false">RB!AO14</f>
        <v>33.9</v>
      </c>
      <c r="H49" s="7" t="n">
        <f aca="false">RB!AP14</f>
        <v>2</v>
      </c>
    </row>
    <row r="50" customFormat="false" ht="15" hidden="false" customHeight="false" outlineLevel="0" collapsed="false">
      <c r="A50" s="5" t="n">
        <v>10</v>
      </c>
      <c r="B50" s="5" t="str">
        <f aca="false">RB!B15</f>
        <v>Jaylen Warren</v>
      </c>
      <c r="C50" s="6" t="n">
        <f aca="false">RB!C15</f>
        <v>45.9</v>
      </c>
      <c r="D50" s="7" t="n">
        <f aca="false">RB!D15</f>
        <v>5</v>
      </c>
      <c r="E50" s="6" t="n">
        <f aca="false">RB!V15</f>
        <v>43.5</v>
      </c>
      <c r="F50" s="7" t="n">
        <f aca="false">RB!W15</f>
        <v>5</v>
      </c>
      <c r="G50" s="6" t="n">
        <f aca="false">RB!AO16</f>
        <v>26.4</v>
      </c>
      <c r="H50" s="7" t="n">
        <f aca="false">RB!AP16</f>
        <v>2</v>
      </c>
    </row>
    <row r="51" customFormat="false" ht="15" hidden="false" customHeight="false" outlineLevel="0" collapsed="false">
      <c r="A51" s="5" t="n">
        <v>11</v>
      </c>
      <c r="B51" s="5" t="str">
        <f aca="false">RB!B16</f>
        <v>Ashton Jeanty</v>
      </c>
      <c r="C51" s="6" t="n">
        <f aca="false">RB!C16</f>
        <v>43.9</v>
      </c>
      <c r="D51" s="7" t="n">
        <f aca="false">RB!D16</f>
        <v>5</v>
      </c>
      <c r="E51" s="6" t="n">
        <f aca="false">RB!V16</f>
        <v>42.1</v>
      </c>
      <c r="F51" s="7" t="n">
        <f aca="false">RB!W16</f>
        <v>5</v>
      </c>
      <c r="G51" s="6" t="n">
        <f aca="false">RB!AO19</f>
        <v>24.1</v>
      </c>
      <c r="H51" s="7" t="n">
        <f aca="false">RB!AP19</f>
        <v>2</v>
      </c>
    </row>
    <row r="52" customFormat="false" ht="15" hidden="false" customHeight="false" outlineLevel="0" collapsed="false">
      <c r="A52" s="5" t="n">
        <v>12</v>
      </c>
      <c r="B52" s="5" t="str">
        <f aca="false">RB!B17</f>
        <v>Chuba Hubbard</v>
      </c>
      <c r="C52" s="6" t="n">
        <f aca="false">RB!C17</f>
        <v>43.5</v>
      </c>
      <c r="D52" s="7" t="n">
        <f aca="false">RB!D17</f>
        <v>5</v>
      </c>
      <c r="E52" s="6" t="n">
        <f aca="false">RB!V17</f>
        <v>42.1</v>
      </c>
      <c r="F52" s="7" t="n">
        <f aca="false">RB!W17</f>
        <v>5</v>
      </c>
      <c r="G52" s="6" t="n">
        <f aca="false">RB!AO15</f>
        <v>32.1</v>
      </c>
      <c r="H52" s="7" t="n">
        <f aca="false">RB!AP15</f>
        <v>2</v>
      </c>
    </row>
    <row r="53" customFormat="false" ht="15" hidden="false" customHeight="false" outlineLevel="0" collapsed="false">
      <c r="A53" s="5" t="n">
        <v>13</v>
      </c>
      <c r="B53" s="5" t="str">
        <f aca="false">RB!B18</f>
        <v>Chase Brown</v>
      </c>
      <c r="C53" s="6" t="n">
        <f aca="false">RB!C18</f>
        <v>42.4</v>
      </c>
      <c r="D53" s="7" t="n">
        <f aca="false">RB!D18</f>
        <v>5</v>
      </c>
      <c r="E53" s="6" t="n">
        <f aca="false">RB!V18</f>
        <v>40.6</v>
      </c>
      <c r="F53" s="7" t="n">
        <f aca="false">RB!W18</f>
        <v>5</v>
      </c>
      <c r="G53" s="6" t="n">
        <f aca="false">RB!AO20</f>
        <v>23.3</v>
      </c>
      <c r="H53" s="7" t="n">
        <f aca="false">RB!AP20</f>
        <v>2</v>
      </c>
    </row>
    <row r="54" customFormat="false" ht="15" hidden="false" customHeight="false" outlineLevel="0" collapsed="false">
      <c r="A54" s="5" t="n">
        <v>14</v>
      </c>
      <c r="B54" s="5" t="str">
        <f aca="false">RB!B19</f>
        <v>D'Andre Swift</v>
      </c>
      <c r="C54" s="6" t="n">
        <f aca="false">RB!C19</f>
        <v>40</v>
      </c>
      <c r="D54" s="7" t="n">
        <f aca="false">RB!D19</f>
        <v>5</v>
      </c>
      <c r="E54" s="6" t="n">
        <f aca="false">RB!V19</f>
        <v>38.7</v>
      </c>
      <c r="F54" s="7" t="n">
        <f aca="false">RB!W19</f>
        <v>5</v>
      </c>
      <c r="G54" s="6" t="n">
        <f aca="false">RB!AO17</f>
        <v>26</v>
      </c>
      <c r="H54" s="7" t="n">
        <f aca="false">RB!AP17</f>
        <v>2</v>
      </c>
    </row>
    <row r="55" customFormat="false" ht="15" hidden="false" customHeight="false" outlineLevel="0" collapsed="false">
      <c r="A55" s="5" t="n">
        <v>15</v>
      </c>
      <c r="B55" s="5" t="str">
        <f aca="false">RB!B20</f>
        <v>Breece Hall</v>
      </c>
      <c r="C55" s="6" t="n">
        <f aca="false">RB!C20</f>
        <v>36.8</v>
      </c>
      <c r="D55" s="7" t="n">
        <f aca="false">RB!D20</f>
        <v>5</v>
      </c>
      <c r="E55" s="6" t="n">
        <f aca="false">RB!V20</f>
        <v>35.4</v>
      </c>
      <c r="F55" s="7" t="n">
        <f aca="false">RB!W20</f>
        <v>5</v>
      </c>
      <c r="G55" s="6" t="n">
        <f aca="false">RB!AO18</f>
        <v>24.9</v>
      </c>
      <c r="H55" s="7" t="n">
        <f aca="false">RB!AP18</f>
        <v>2</v>
      </c>
    </row>
    <row r="56" customFormat="false" ht="15" hidden="false" customHeight="false" outlineLevel="0" collapsed="false">
      <c r="A56" s="5" t="n">
        <v>16</v>
      </c>
      <c r="B56" s="5" t="str">
        <f aca="false">RB!B21</f>
        <v>Bhayshul Tuten</v>
      </c>
      <c r="C56" s="6" t="n">
        <f aca="false">RB!C21</f>
        <v>36.6</v>
      </c>
      <c r="D56" s="7" t="n">
        <f aca="false">RB!D21</f>
        <v>5</v>
      </c>
      <c r="E56" s="6" t="n">
        <f aca="false">RB!V21</f>
        <v>35.9</v>
      </c>
      <c r="F56" s="7" t="n">
        <f aca="false">RB!W21</f>
        <v>5</v>
      </c>
      <c r="G56" s="6" t="n">
        <f aca="false">RB!AO22</f>
        <v>20.6</v>
      </c>
      <c r="H56" s="7" t="n">
        <f aca="false">RB!AP22</f>
        <v>2</v>
      </c>
    </row>
    <row r="57" customFormat="false" ht="15" hidden="false" customHeight="false" outlineLevel="0" collapsed="false">
      <c r="A57" s="5" t="n">
        <v>17</v>
      </c>
      <c r="B57" s="5" t="str">
        <f aca="false">RB!B22</f>
        <v>Bucky Irving</v>
      </c>
      <c r="C57" s="6" t="n">
        <f aca="false">RB!C22</f>
        <v>36</v>
      </c>
      <c r="D57" s="7" t="n">
        <f aca="false">RB!D22</f>
        <v>5</v>
      </c>
      <c r="E57" s="6" t="n">
        <f aca="false">RB!V22</f>
        <v>34.5</v>
      </c>
      <c r="F57" s="7" t="n">
        <f aca="false">RB!W22</f>
        <v>5</v>
      </c>
      <c r="G57" s="6" t="n">
        <f aca="false">RB!AO21</f>
        <v>23.3</v>
      </c>
      <c r="H57" s="7" t="n">
        <f aca="false">RB!AP21</f>
        <v>2</v>
      </c>
    </row>
    <row r="58" customFormat="false" ht="15" hidden="false" customHeight="false" outlineLevel="0" collapsed="false">
      <c r="A58" s="5" t="n">
        <v>18</v>
      </c>
      <c r="B58" s="5" t="str">
        <f aca="false">RB!B23</f>
        <v>Saquon Barkley</v>
      </c>
      <c r="C58" s="6" t="n">
        <f aca="false">RB!C23</f>
        <v>33.3</v>
      </c>
      <c r="D58" s="7" t="n">
        <f aca="false">RB!D23</f>
        <v>5</v>
      </c>
      <c r="E58" s="6" t="n">
        <f aca="false">RB!V23</f>
        <v>32.4</v>
      </c>
      <c r="F58" s="7" t="n">
        <f aca="false">RB!W23</f>
        <v>5</v>
      </c>
      <c r="G58" s="6" t="n">
        <f aca="false">RB!AO24</f>
        <v>18.3</v>
      </c>
      <c r="H58" s="7" t="n">
        <f aca="false">RB!AP24</f>
        <v>2</v>
      </c>
    </row>
    <row r="59" customFormat="false" ht="15" hidden="false" customHeight="false" outlineLevel="0" collapsed="false">
      <c r="A59" s="5" t="n">
        <v>19</v>
      </c>
      <c r="B59" s="5" t="str">
        <f aca="false">RB!B24</f>
        <v>Jeremiyah Love</v>
      </c>
      <c r="C59" s="6" t="n">
        <f aca="false">RB!C24</f>
        <v>31.1</v>
      </c>
      <c r="D59" s="7" t="n">
        <f aca="false">RB!D24</f>
        <v>5</v>
      </c>
      <c r="E59" s="6" t="n">
        <f aca="false">RB!V24</f>
        <v>29.8</v>
      </c>
      <c r="F59" s="7" t="n">
        <f aca="false">RB!W24</f>
        <v>5</v>
      </c>
      <c r="G59" s="6" t="n">
        <f aca="false">RB!AO25</f>
        <v>14.1</v>
      </c>
      <c r="H59" s="7" t="n">
        <f aca="false">RB!AP25</f>
        <v>2</v>
      </c>
    </row>
    <row r="60" customFormat="false" ht="15" hidden="false" customHeight="false" outlineLevel="0" collapsed="false">
      <c r="A60" s="5" t="n">
        <v>20</v>
      </c>
      <c r="B60" s="5" t="str">
        <f aca="false">RB!B25</f>
        <v>Rhamondre Stevenson</v>
      </c>
      <c r="C60" s="6" t="n">
        <f aca="false">RB!C25</f>
        <v>30.1</v>
      </c>
      <c r="D60" s="7" t="n">
        <f aca="false">RB!D25</f>
        <v>5</v>
      </c>
      <c r="E60" s="6" t="n">
        <f aca="false">RB!V25</f>
        <v>28.8</v>
      </c>
      <c r="F60" s="7" t="n">
        <f aca="false">RB!W25</f>
        <v>5</v>
      </c>
      <c r="G60" s="6" t="n">
        <f aca="false">RB!AO23</f>
        <v>19.6</v>
      </c>
      <c r="H60" s="7" t="n">
        <f aca="false">RB!AP23</f>
        <v>2</v>
      </c>
    </row>
    <row r="61" customFormat="false" ht="15" hidden="false" customHeight="false" outlineLevel="0" collapsed="false">
      <c r="A61" s="5" t="n">
        <v>21</v>
      </c>
      <c r="B61" s="5" t="str">
        <f aca="false">RB!B26</f>
        <v>Cam Skattebo</v>
      </c>
      <c r="C61" s="6" t="n">
        <f aca="false">RB!C26</f>
        <v>26.9</v>
      </c>
      <c r="D61" s="7" t="n">
        <f aca="false">RB!D26</f>
        <v>5</v>
      </c>
      <c r="E61" s="6" t="n">
        <f aca="false">RB!V26</f>
        <v>26.1</v>
      </c>
      <c r="F61" s="7" t="n">
        <f aca="false">RB!W26</f>
        <v>5</v>
      </c>
      <c r="G61" s="6" t="n">
        <f aca="false">RB!AO26</f>
        <v>13.4</v>
      </c>
      <c r="H61" s="7" t="n">
        <f aca="false">RB!AP26</f>
        <v>2</v>
      </c>
    </row>
    <row r="62" customFormat="false" ht="15" hidden="false" customHeight="false" outlineLevel="0" collapsed="false">
      <c r="A62" s="5" t="n">
        <v>22</v>
      </c>
      <c r="B62" s="5" t="str">
        <f aca="false">RB!B27</f>
        <v>Quinshon Judkins</v>
      </c>
      <c r="C62" s="6" t="n">
        <f aca="false">RB!C27</f>
        <v>26.7</v>
      </c>
      <c r="D62" s="7" t="n">
        <f aca="false">RB!D27</f>
        <v>5</v>
      </c>
      <c r="E62" s="6" t="n">
        <f aca="false">RB!V27</f>
        <v>25.8</v>
      </c>
      <c r="F62" s="7" t="n">
        <f aca="false">RB!W27</f>
        <v>5</v>
      </c>
      <c r="G62" s="6" t="n">
        <f aca="false">RB!AO27</f>
        <v>12.3</v>
      </c>
      <c r="H62" s="7" t="n">
        <f aca="false">RB!AP27</f>
        <v>2</v>
      </c>
    </row>
    <row r="63" customFormat="false" ht="15" hidden="false" customHeight="false" outlineLevel="0" collapsed="false">
      <c r="A63" s="5" t="n">
        <v>23</v>
      </c>
      <c r="B63" s="5" t="str">
        <f aca="false">RB!B28</f>
        <v>Aaron Jones Sr.</v>
      </c>
      <c r="C63" s="6" t="n">
        <f aca="false">RB!C28</f>
        <v>23.4</v>
      </c>
      <c r="D63" s="7" t="n">
        <f aca="false">RB!D28</f>
        <v>5</v>
      </c>
      <c r="E63" s="6" t="n">
        <f aca="false">RB!V28</f>
        <v>22.7</v>
      </c>
      <c r="F63" s="7" t="n">
        <f aca="false">RB!W28</f>
        <v>5</v>
      </c>
      <c r="G63" s="6" t="n">
        <f aca="false">RB!AO32</f>
        <v>8.1</v>
      </c>
      <c r="H63" s="7" t="n">
        <f aca="false">RB!AP32</f>
        <v>2</v>
      </c>
    </row>
    <row r="64" customFormat="false" ht="15" hidden="false" customHeight="false" outlineLevel="0" collapsed="false">
      <c r="A64" s="5" t="n">
        <v>24</v>
      </c>
      <c r="B64" s="5" t="str">
        <f aca="false">RB!B29</f>
        <v>Omarion Hampton</v>
      </c>
      <c r="C64" s="6" t="n">
        <f aca="false">RB!C29</f>
        <v>22.7</v>
      </c>
      <c r="D64" s="7" t="n">
        <f aca="false">RB!D29</f>
        <v>5</v>
      </c>
      <c r="E64" s="6" t="n">
        <f aca="false">RB!V29</f>
        <v>22.1</v>
      </c>
      <c r="F64" s="7" t="n">
        <f aca="false">RB!W29</f>
        <v>5</v>
      </c>
      <c r="G64" s="6" t="n">
        <f aca="false">RB!AO28</f>
        <v>11.5</v>
      </c>
      <c r="H64" s="7" t="n">
        <f aca="false">RB!AP28</f>
        <v>2</v>
      </c>
    </row>
    <row r="65" customFormat="false" ht="15" hidden="false" customHeight="false" outlineLevel="0" collapsed="false">
      <c r="A65" s="5" t="n">
        <v>25</v>
      </c>
      <c r="B65" s="5" t="str">
        <f aca="false">RB!B30</f>
        <v>Ollie Gordon II</v>
      </c>
      <c r="C65" s="6" t="n">
        <f aca="false">RB!C30</f>
        <v>20.5</v>
      </c>
      <c r="D65" s="7" t="n">
        <f aca="false">RB!D30</f>
        <v>5</v>
      </c>
      <c r="E65" s="6" t="n">
        <f aca="false">RB!V30</f>
        <v>20.4</v>
      </c>
      <c r="F65" s="7" t="n">
        <f aca="false">RB!W30</f>
        <v>5</v>
      </c>
      <c r="G65" s="6" t="n">
        <f aca="false">RB!AO30</f>
        <v>10.5</v>
      </c>
      <c r="H65" s="7" t="n">
        <f aca="false">RB!AP30</f>
        <v>2</v>
      </c>
    </row>
    <row r="66" customFormat="false" ht="15" hidden="false" customHeight="false" outlineLevel="0" collapsed="false">
      <c r="A66" s="5" t="n">
        <v>26</v>
      </c>
      <c r="B66" s="5" t="str">
        <f aca="false">RB!B31</f>
        <v>Kyle Monangai</v>
      </c>
      <c r="C66" s="6" t="n">
        <f aca="false">RB!C31</f>
        <v>19</v>
      </c>
      <c r="D66" s="7" t="n">
        <f aca="false">RB!D31</f>
        <v>5</v>
      </c>
      <c r="E66" s="6" t="n">
        <f aca="false">RB!V31</f>
        <v>18.3</v>
      </c>
      <c r="F66" s="7" t="n">
        <f aca="false">RB!W31</f>
        <v>5</v>
      </c>
      <c r="G66" s="6" t="n">
        <f aca="false">RB!AO35</f>
        <v>7.5</v>
      </c>
      <c r="H66" s="7" t="n">
        <f aca="false">RB!AP35</f>
        <v>2</v>
      </c>
    </row>
    <row r="67" customFormat="false" ht="15" hidden="false" customHeight="false" outlineLevel="0" collapsed="false">
      <c r="A67" s="5" t="n">
        <v>27</v>
      </c>
      <c r="B67" s="5" t="str">
        <f aca="false">RB!B32</f>
        <v>Woody Marks</v>
      </c>
      <c r="C67" s="6" t="n">
        <f aca="false">RB!C32</f>
        <v>18.1</v>
      </c>
      <c r="D67" s="7" t="n">
        <f aca="false">RB!D32</f>
        <v>5</v>
      </c>
      <c r="E67" s="6" t="n">
        <f aca="false">RB!V32</f>
        <v>16.9</v>
      </c>
      <c r="F67" s="7" t="n">
        <f aca="false">RB!W32</f>
        <v>5</v>
      </c>
      <c r="G67" s="6" t="n">
        <f aca="false">RB!AO31</f>
        <v>10</v>
      </c>
      <c r="H67" s="7" t="n">
        <f aca="false">RB!AP31</f>
        <v>2</v>
      </c>
    </row>
    <row r="68" customFormat="false" ht="15" hidden="false" customHeight="false" outlineLevel="0" collapsed="false">
      <c r="A68" s="5" t="n">
        <v>28</v>
      </c>
      <c r="B68" s="5" t="str">
        <f aca="false">RB!B33</f>
        <v>Jacory Croskey-Merritt</v>
      </c>
      <c r="C68" s="6" t="n">
        <f aca="false">RB!C33</f>
        <v>18.1</v>
      </c>
      <c r="D68" s="7" t="n">
        <f aca="false">RB!D33</f>
        <v>5</v>
      </c>
      <c r="E68" s="6" t="n">
        <f aca="false">RB!V33</f>
        <v>18</v>
      </c>
      <c r="F68" s="7" t="n">
        <f aca="false">RB!W33</f>
        <v>5</v>
      </c>
      <c r="G68" s="6" t="n">
        <f aca="false">RB!AO39</f>
        <v>5.7</v>
      </c>
      <c r="H68" s="7" t="n">
        <f aca="false">RB!AP39</f>
        <v>2</v>
      </c>
    </row>
    <row r="69" customFormat="false" ht="15" hidden="false" customHeight="false" outlineLevel="0" collapsed="false">
      <c r="A69" s="5" t="n">
        <v>29</v>
      </c>
      <c r="B69" s="5" t="str">
        <f aca="false">RB!B34</f>
        <v>Travis Etienne Jr.</v>
      </c>
      <c r="C69" s="6" t="n">
        <f aca="false">RB!C34</f>
        <v>17</v>
      </c>
      <c r="D69" s="7" t="n">
        <f aca="false">RB!D34</f>
        <v>5</v>
      </c>
      <c r="E69" s="6" t="n">
        <f aca="false">RB!V34</f>
        <v>15.9</v>
      </c>
      <c r="F69" s="7" t="n">
        <f aca="false">RB!W34</f>
        <v>5</v>
      </c>
      <c r="G69" s="6" t="n">
        <f aca="false">RB!AO34</f>
        <v>7.5</v>
      </c>
      <c r="H69" s="7" t="n">
        <f aca="false">RB!AP34</f>
        <v>2</v>
      </c>
    </row>
    <row r="70" customFormat="false" ht="15" hidden="false" customHeight="false" outlineLevel="0" collapsed="false">
      <c r="A70" s="5" t="n">
        <v>30</v>
      </c>
      <c r="B70" s="5" t="str">
        <f aca="false">RB!B35</f>
        <v>Tony Pollard</v>
      </c>
      <c r="C70" s="6" t="n">
        <f aca="false">RB!C35</f>
        <v>16.6</v>
      </c>
      <c r="D70" s="7" t="n">
        <f aca="false">RB!D35</f>
        <v>5</v>
      </c>
      <c r="E70" s="6" t="n">
        <f aca="false">RB!V35</f>
        <v>15.9</v>
      </c>
      <c r="F70" s="7" t="n">
        <f aca="false">RB!W35</f>
        <v>5</v>
      </c>
      <c r="G70" s="6" t="n">
        <f aca="false">RB!AO41</f>
        <v>5.4</v>
      </c>
      <c r="H70" s="7" t="n">
        <f aca="false">RB!AP41</f>
        <v>2</v>
      </c>
    </row>
    <row r="71" customFormat="false" ht="15" hidden="false" customHeight="false" outlineLevel="0" collapsed="false">
      <c r="A71" s="5" t="n">
        <v>31</v>
      </c>
      <c r="B71" s="5" t="str">
        <f aca="false">RB!B36</f>
        <v>Jordan Mason</v>
      </c>
      <c r="C71" s="6" t="n">
        <f aca="false">RB!C36</f>
        <v>16.3</v>
      </c>
      <c r="D71" s="7" t="n">
        <f aca="false">RB!D36</f>
        <v>5</v>
      </c>
      <c r="E71" s="6" t="n">
        <f aca="false">RB!V36</f>
        <v>16.3</v>
      </c>
      <c r="F71" s="7" t="n">
        <f aca="false">RB!W36</f>
        <v>5</v>
      </c>
      <c r="G71" s="6" t="n">
        <f aca="false">RB!AO36</f>
        <v>7.2</v>
      </c>
      <c r="H71" s="7" t="n">
        <f aca="false">RB!AP36</f>
        <v>2</v>
      </c>
    </row>
    <row r="72" customFormat="false" ht="15" hidden="false" customHeight="false" outlineLevel="0" collapsed="false">
      <c r="A72" s="5" t="n">
        <v>32</v>
      </c>
      <c r="B72" s="5" t="str">
        <f aca="false">RB!B37</f>
        <v>Josh Jacobs</v>
      </c>
      <c r="C72" s="6" t="n">
        <f aca="false">RB!C37</f>
        <v>15.6</v>
      </c>
      <c r="D72" s="7" t="n">
        <f aca="false">RB!D37</f>
        <v>5</v>
      </c>
      <c r="E72" s="6" t="n">
        <f aca="false">RB!V37</f>
        <v>15.3</v>
      </c>
      <c r="F72" s="7" t="n">
        <f aca="false">RB!W37</f>
        <v>5</v>
      </c>
      <c r="G72" s="6" t="n">
        <f aca="false">RB!AO29</f>
        <v>11.4</v>
      </c>
      <c r="H72" s="7" t="n">
        <f aca="false">RB!AP29</f>
        <v>2</v>
      </c>
    </row>
    <row r="73" customFormat="false" ht="15" hidden="false" customHeight="false" outlineLevel="0" collapsed="false">
      <c r="A73" s="5" t="n">
        <v>33</v>
      </c>
      <c r="B73" s="5" t="str">
        <f aca="false">RB!B38</f>
        <v>David Montgomery</v>
      </c>
      <c r="C73" s="6" t="n">
        <f aca="false">RB!C38</f>
        <v>15.6</v>
      </c>
      <c r="D73" s="7" t="n">
        <f aca="false">RB!D38</f>
        <v>5</v>
      </c>
      <c r="E73" s="6" t="n">
        <f aca="false">RB!V38</f>
        <v>15</v>
      </c>
      <c r="F73" s="7" t="n">
        <f aca="false">RB!W38</f>
        <v>5</v>
      </c>
      <c r="G73" s="6" t="n">
        <f aca="false">RB!AO38</f>
        <v>6.1</v>
      </c>
      <c r="H73" s="7" t="n">
        <f aca="false">RB!AP38</f>
        <v>2</v>
      </c>
    </row>
    <row r="74" customFormat="false" ht="15" hidden="false" customHeight="false" outlineLevel="0" collapsed="false">
      <c r="A74" s="5" t="n">
        <v>34</v>
      </c>
      <c r="B74" s="5" t="str">
        <f aca="false">RB!B39</f>
        <v>J.K. Dobbins</v>
      </c>
      <c r="C74" s="6" t="n">
        <f aca="false">RB!C39</f>
        <v>15.4</v>
      </c>
      <c r="D74" s="7" t="n">
        <f aca="false">RB!D39</f>
        <v>5</v>
      </c>
      <c r="E74" s="6" t="n">
        <f aca="false">RB!V39</f>
        <v>15.4</v>
      </c>
      <c r="F74" s="7" t="n">
        <f aca="false">RB!W39</f>
        <v>5</v>
      </c>
      <c r="G74" s="6" t="n">
        <f aca="false">RB!AO33</f>
        <v>7.7</v>
      </c>
      <c r="H74" s="7" t="n">
        <f aca="false">RB!AP33</f>
        <v>2</v>
      </c>
    </row>
    <row r="75" customFormat="false" ht="15" hidden="false" customHeight="false" outlineLevel="0" collapsed="false">
      <c r="A75" s="5" t="n">
        <v>35</v>
      </c>
      <c r="B75" s="5" t="str">
        <f aca="false">RB!B40</f>
        <v>TreVeyon Henderson</v>
      </c>
      <c r="C75" s="6" t="n">
        <f aca="false">RB!C40</f>
        <v>15.4</v>
      </c>
      <c r="D75" s="7" t="n">
        <f aca="false">RB!D40</f>
        <v>5</v>
      </c>
      <c r="E75" s="6" t="n">
        <f aca="false">RB!V40</f>
        <v>14.6</v>
      </c>
      <c r="F75" s="7" t="n">
        <f aca="false">RB!W40</f>
        <v>5</v>
      </c>
      <c r="G75" s="6" t="n">
        <f aca="false">RB!AO46</f>
        <v>3.7</v>
      </c>
      <c r="H75" s="7" t="n">
        <f aca="false">RB!AP46</f>
        <v>2</v>
      </c>
    </row>
    <row r="76" customFormat="false" ht="15" hidden="false" customHeight="false" outlineLevel="0" collapsed="false">
      <c r="A76" s="5" t="n">
        <v>36</v>
      </c>
      <c r="B76" s="5" t="str">
        <f aca="false">RB!B41</f>
        <v>Zach Charbonnet</v>
      </c>
      <c r="C76" s="6" t="n">
        <f aca="false">RB!C41</f>
        <v>15.3</v>
      </c>
      <c r="D76" s="7" t="n">
        <f aca="false">RB!D41</f>
        <v>4</v>
      </c>
      <c r="E76" s="6" t="n">
        <f aca="false">RB!V41</f>
        <v>11</v>
      </c>
      <c r="F76" s="7" t="n">
        <f aca="false">RB!W41</f>
        <v>4</v>
      </c>
      <c r="G76" s="6" t="n">
        <f aca="false">RB!AO42</f>
        <v>5</v>
      </c>
      <c r="H76" s="7" t="n">
        <f aca="false">RB!AP42</f>
        <v>2</v>
      </c>
    </row>
    <row r="77" customFormat="false" ht="15" hidden="false" customHeight="false" outlineLevel="0" collapsed="false">
      <c r="A77" s="5" t="n">
        <v>37</v>
      </c>
      <c r="B77" s="5" t="str">
        <f aca="false">RB!B42</f>
        <v>Blake Corum</v>
      </c>
      <c r="C77" s="6" t="n">
        <f aca="false">RB!C42</f>
        <v>14.9</v>
      </c>
      <c r="D77" s="7" t="n">
        <f aca="false">RB!D42</f>
        <v>5</v>
      </c>
      <c r="E77" s="6" t="n">
        <f aca="false">RB!V42</f>
        <v>14.8</v>
      </c>
      <c r="F77" s="7" t="n">
        <f aca="false">RB!W42</f>
        <v>5</v>
      </c>
      <c r="G77" s="6" t="n">
        <f aca="false">RB!AO43</f>
        <v>4.2</v>
      </c>
      <c r="H77" s="7" t="n">
        <f aca="false">RB!AP43</f>
        <v>2</v>
      </c>
    </row>
    <row r="78" customFormat="false" ht="15" hidden="false" customHeight="false" outlineLevel="0" collapsed="false">
      <c r="A78" s="5" t="n">
        <v>38</v>
      </c>
      <c r="B78" s="5" t="str">
        <f aca="false">RB!B43</f>
        <v>Emanuel Wilson</v>
      </c>
      <c r="C78" s="6" t="n">
        <f aca="false">RB!C43</f>
        <v>14.9</v>
      </c>
      <c r="D78" s="7" t="n">
        <f aca="false">RB!D43</f>
        <v>5</v>
      </c>
      <c r="E78" s="6" t="n">
        <f aca="false">RB!V43</f>
        <v>14.4</v>
      </c>
      <c r="F78" s="7" t="n">
        <f aca="false">RB!W43</f>
        <v>5</v>
      </c>
      <c r="G78" s="6" t="n">
        <f aca="false">RB!AO37</f>
        <v>6.7</v>
      </c>
      <c r="H78" s="7" t="n">
        <f aca="false">RB!AP37</f>
        <v>2</v>
      </c>
    </row>
    <row r="79" customFormat="false" ht="15" hidden="false" customHeight="false" outlineLevel="0" collapsed="false">
      <c r="A79" s="5" t="n">
        <v>39</v>
      </c>
      <c r="B79" s="5" t="str">
        <f aca="false">RB!B44</f>
        <v>Braelon Allen</v>
      </c>
      <c r="C79" s="6" t="n">
        <f aca="false">RB!C44</f>
        <v>14.6</v>
      </c>
      <c r="D79" s="7" t="n">
        <f aca="false">RB!D44</f>
        <v>5</v>
      </c>
      <c r="E79" s="6" t="n">
        <f aca="false">RB!V44</f>
        <v>14.5</v>
      </c>
      <c r="F79" s="7" t="n">
        <f aca="false">RB!W44</f>
        <v>5</v>
      </c>
      <c r="G79" s="6" t="n">
        <f aca="false">RB!AO40</f>
        <v>5.4</v>
      </c>
      <c r="H79" s="7" t="n">
        <f aca="false">RB!AP40</f>
        <v>2</v>
      </c>
    </row>
    <row r="80" customFormat="false" ht="15" hidden="false" customHeight="false" outlineLevel="0" collapsed="false">
      <c r="A80" s="5" t="n">
        <v>40</v>
      </c>
      <c r="B80" s="5" t="str">
        <f aca="false">RB!B45</f>
        <v>RJ Harvey</v>
      </c>
      <c r="C80" s="6" t="n">
        <f aca="false">RB!C45</f>
        <v>14.4</v>
      </c>
      <c r="D80" s="7" t="n">
        <f aca="false">RB!D45</f>
        <v>5</v>
      </c>
      <c r="E80" s="6" t="n">
        <f aca="false">RB!V45</f>
        <v>12.5</v>
      </c>
      <c r="F80" s="7" t="n">
        <f aca="false">RB!W45</f>
        <v>5</v>
      </c>
      <c r="G80" s="6" t="n">
        <f aca="false">RB!AO49</f>
        <v>1.5</v>
      </c>
      <c r="H80" s="7" t="n">
        <f aca="false">RB!AP49</f>
        <v>2</v>
      </c>
    </row>
    <row r="81" customFormat="false" ht="15" hidden="false" customHeight="false" outlineLevel="0" collapsed="false">
      <c r="A81" s="5" t="n">
        <v>41</v>
      </c>
      <c r="B81" s="5" t="str">
        <f aca="false">RB!B46</f>
        <v>Alvin Kamara</v>
      </c>
      <c r="C81" s="6" t="n">
        <f aca="false">RB!C46</f>
        <v>11.4</v>
      </c>
      <c r="D81" s="7" t="n">
        <f aca="false">RB!D46</f>
        <v>5</v>
      </c>
      <c r="E81" s="6" t="n">
        <f aca="false">RB!V46</f>
        <v>10.8</v>
      </c>
      <c r="F81" s="7" t="n">
        <f aca="false">RB!W46</f>
        <v>5</v>
      </c>
      <c r="G81" s="6" t="n">
        <f aca="false">RB!AO48</f>
        <v>2.4</v>
      </c>
      <c r="H81" s="7" t="n">
        <f aca="false">RB!AP48</f>
        <v>2</v>
      </c>
    </row>
    <row r="82" customFormat="false" ht="15" hidden="false" customHeight="false" outlineLevel="0" collapsed="false">
      <c r="A82" s="5" t="n">
        <v>42</v>
      </c>
      <c r="B82" s="5" t="str">
        <f aca="false">RB!B47</f>
        <v>Emmett Johnson</v>
      </c>
      <c r="C82" s="6" t="n">
        <f aca="false">RB!C47</f>
        <v>11.3</v>
      </c>
      <c r="D82" s="7" t="n">
        <f aca="false">RB!D47</f>
        <v>4</v>
      </c>
      <c r="E82" s="6" t="n">
        <f aca="false">RB!V47</f>
        <v>11.2</v>
      </c>
      <c r="F82" s="7" t="n">
        <f aca="false">RB!W47</f>
        <v>4</v>
      </c>
      <c r="G82" s="6"/>
      <c r="H82" s="8"/>
    </row>
    <row r="83" customFormat="false" ht="15" hidden="false" customHeight="false" outlineLevel="0" collapsed="false">
      <c r="A83" s="5" t="n">
        <v>43</v>
      </c>
      <c r="B83" s="5" t="str">
        <f aca="false">RB!B48</f>
        <v>Brian Robinson Jr.</v>
      </c>
      <c r="C83" s="6" t="n">
        <f aca="false">RB!C48</f>
        <v>9.7</v>
      </c>
      <c r="D83" s="7" t="n">
        <f aca="false">RB!D48</f>
        <v>5</v>
      </c>
      <c r="E83" s="6" t="n">
        <f aca="false">RB!V48</f>
        <v>9.7</v>
      </c>
      <c r="F83" s="7" t="n">
        <f aca="false">RB!W48</f>
        <v>5</v>
      </c>
      <c r="G83" s="6" t="n">
        <f aca="false">RB!AO44</f>
        <v>4.2</v>
      </c>
      <c r="H83" s="7" t="n">
        <f aca="false">RB!AP44</f>
        <v>2</v>
      </c>
    </row>
    <row r="84" customFormat="false" ht="15" hidden="false" customHeight="false" outlineLevel="0" collapsed="false">
      <c r="A84" s="5" t="n">
        <v>44</v>
      </c>
      <c r="B84" s="5" t="str">
        <f aca="false">RB!B49</f>
        <v>Keaton Mitchell</v>
      </c>
      <c r="C84" s="6" t="n">
        <f aca="false">RB!C49</f>
        <v>9.6</v>
      </c>
      <c r="D84" s="7" t="n">
        <f aca="false">RB!D49</f>
        <v>5</v>
      </c>
      <c r="E84" s="6" t="n">
        <f aca="false">RB!V49</f>
        <v>8.9</v>
      </c>
      <c r="F84" s="7" t="n">
        <f aca="false">RB!W49</f>
        <v>5</v>
      </c>
      <c r="G84" s="6"/>
      <c r="H84" s="8"/>
    </row>
    <row r="85" customFormat="false" ht="15" hidden="false" customHeight="false" outlineLevel="0" collapsed="false">
      <c r="A85" s="5" t="n">
        <v>45</v>
      </c>
      <c r="B85" s="5" t="str">
        <f aca="false">RB!B50</f>
        <v>MarShawn Lloyd</v>
      </c>
      <c r="C85" s="6" t="n">
        <f aca="false">RB!C50</f>
        <v>9.2</v>
      </c>
      <c r="D85" s="7" t="n">
        <f aca="false">RB!D50</f>
        <v>5</v>
      </c>
      <c r="E85" s="6" t="n">
        <f aca="false">RB!V50</f>
        <v>9</v>
      </c>
      <c r="F85" s="7" t="n">
        <f aca="false">RB!W50</f>
        <v>5</v>
      </c>
      <c r="G85" s="6" t="n">
        <f aca="false">RB!AO45</f>
        <v>3.9</v>
      </c>
      <c r="H85" s="7" t="n">
        <f aca="false">RB!AP45</f>
        <v>2</v>
      </c>
    </row>
    <row r="86" customFormat="false" ht="15" hidden="false" customHeight="false" outlineLevel="0" collapsed="false">
      <c r="A86" s="5" t="n">
        <v>46</v>
      </c>
      <c r="B86" s="5" t="str">
        <f aca="false">RB!B51</f>
        <v>Rachaad White</v>
      </c>
      <c r="C86" s="6" t="n">
        <f aca="false">RB!C51</f>
        <v>8.8</v>
      </c>
      <c r="D86" s="7" t="n">
        <f aca="false">RB!D51</f>
        <v>4</v>
      </c>
      <c r="E86" s="6" t="n">
        <f aca="false">RB!V51</f>
        <v>8</v>
      </c>
      <c r="F86" s="7" t="n">
        <f aca="false">RB!W51</f>
        <v>4</v>
      </c>
      <c r="G86" s="6"/>
      <c r="H86" s="8"/>
    </row>
    <row r="87" customFormat="false" ht="15" hidden="false" customHeight="false" outlineLevel="0" collapsed="false">
      <c r="A87" s="5" t="n">
        <v>47</v>
      </c>
      <c r="B87" s="5" t="str">
        <f aca="false">RB!B52</f>
        <v>Jadarian Price</v>
      </c>
      <c r="C87" s="6" t="n">
        <f aca="false">RB!C52</f>
        <v>8.3</v>
      </c>
      <c r="D87" s="7" t="n">
        <f aca="false">RB!D52</f>
        <v>5</v>
      </c>
      <c r="E87" s="6" t="n">
        <f aca="false">RB!V52</f>
        <v>8.3</v>
      </c>
      <c r="F87" s="7" t="n">
        <f aca="false">RB!W52</f>
        <v>5</v>
      </c>
      <c r="G87" s="6" t="n">
        <f aca="false">RB!AO50</f>
        <v>0.8</v>
      </c>
      <c r="H87" s="7" t="n">
        <f aca="false">RB!AP50</f>
        <v>2</v>
      </c>
    </row>
    <row r="88" customFormat="false" ht="15" hidden="false" customHeight="false" outlineLevel="0" collapsed="false">
      <c r="A88" s="5" t="n">
        <v>48</v>
      </c>
      <c r="B88" s="5" t="str">
        <f aca="false">RB!B53</f>
        <v>Kaelon Black</v>
      </c>
      <c r="C88" s="6" t="n">
        <f aca="false">RB!C53</f>
        <v>8.3</v>
      </c>
      <c r="D88" s="7" t="n">
        <f aca="false">RB!D53</f>
        <v>5</v>
      </c>
      <c r="E88" s="6" t="n">
        <f aca="false">RB!V53</f>
        <v>8.2</v>
      </c>
      <c r="F88" s="7" t="n">
        <f aca="false">RB!W53</f>
        <v>5</v>
      </c>
      <c r="G88" s="6" t="n">
        <f aca="false">RB!AO47</f>
        <v>2.8</v>
      </c>
      <c r="H88" s="7" t="n">
        <f aca="false">RB!AP47</f>
        <v>2</v>
      </c>
    </row>
    <row r="89" customFormat="false" ht="15" hidden="false" customHeight="false" outlineLevel="0" collapsed="false">
      <c r="A89" s="5" t="n">
        <v>49</v>
      </c>
      <c r="B89" s="5" t="str">
        <f aca="false">RB!B54</f>
        <v>Jonathon Brooks</v>
      </c>
      <c r="C89" s="6" t="n">
        <f aca="false">RB!C54</f>
        <v>8.1</v>
      </c>
      <c r="D89" s="7" t="n">
        <f aca="false">RB!D54</f>
        <v>3</v>
      </c>
      <c r="E89" s="6" t="n">
        <f aca="false">RB!V54</f>
        <v>8.1</v>
      </c>
      <c r="F89" s="7" t="n">
        <f aca="false">RB!W54</f>
        <v>3</v>
      </c>
      <c r="G89" s="6"/>
      <c r="H89" s="8"/>
    </row>
    <row r="90" customFormat="false" ht="15" hidden="false" customHeight="false" outlineLevel="0" collapsed="false">
      <c r="A90" s="5" t="n">
        <v>50</v>
      </c>
      <c r="B90" s="5" t="str">
        <f aca="false">RB!B55</f>
        <v>Chris Rodriguez Jr.</v>
      </c>
      <c r="C90" s="6" t="n">
        <f aca="false">RB!C55</f>
        <v>8</v>
      </c>
      <c r="D90" s="7" t="n">
        <f aca="false">RB!D55</f>
        <v>3</v>
      </c>
      <c r="E90" s="6"/>
      <c r="F90" s="8"/>
      <c r="G90" s="6"/>
      <c r="H90" s="8"/>
    </row>
    <row r="91" customFormat="false" ht="15" hidden="false" customHeight="false" outlineLevel="0" collapsed="false">
      <c r="A91" s="5" t="n">
        <v>51</v>
      </c>
      <c r="B91" s="5" t="str">
        <f aca="false">RB!B56</f>
        <v>Tyler Allgeier</v>
      </c>
      <c r="C91" s="6" t="n">
        <f aca="false">RB!C56</f>
        <v>7.9</v>
      </c>
      <c r="D91" s="7" t="n">
        <f aca="false">RB!D56</f>
        <v>4</v>
      </c>
      <c r="E91" s="6" t="n">
        <f aca="false">RB!V55</f>
        <v>7.6</v>
      </c>
      <c r="F91" s="7" t="n">
        <f aca="false">RB!W55</f>
        <v>4</v>
      </c>
      <c r="G91" s="6"/>
      <c r="H91" s="8"/>
    </row>
    <row r="92" customFormat="false" ht="15" hidden="false" customHeight="false" outlineLevel="0" collapsed="false">
      <c r="A92" s="5" t="n">
        <v>52</v>
      </c>
      <c r="B92" s="5" t="str">
        <f aca="false">RB!B57</f>
        <v>Samaje Perine</v>
      </c>
      <c r="C92" s="6" t="n">
        <f aca="false">RB!C57</f>
        <v>7.4</v>
      </c>
      <c r="D92" s="7" t="n">
        <f aca="false">RB!D57</f>
        <v>3</v>
      </c>
      <c r="E92" s="6" t="n">
        <f aca="false">RB!V56</f>
        <v>6.2</v>
      </c>
      <c r="F92" s="7" t="n">
        <f aca="false">RB!W56</f>
        <v>3</v>
      </c>
      <c r="G92" s="6"/>
      <c r="H92" s="8"/>
    </row>
    <row r="93" customFormat="false" ht="15" hidden="false" customHeight="false" outlineLevel="0" collapsed="false">
      <c r="A93" s="5" t="n">
        <v>53</v>
      </c>
      <c r="B93" s="5" t="str">
        <f aca="false">RB!B58</f>
        <v>Mike Washington Jr.</v>
      </c>
      <c r="C93" s="6" t="n">
        <f aca="false">RB!C58</f>
        <v>6.8</v>
      </c>
      <c r="D93" s="7" t="n">
        <f aca="false">RB!D58</f>
        <v>4</v>
      </c>
      <c r="E93" s="6" t="n">
        <f aca="false">RB!V57</f>
        <v>6.8</v>
      </c>
      <c r="F93" s="7" t="n">
        <f aca="false">RB!W57</f>
        <v>4</v>
      </c>
      <c r="G93" s="6"/>
      <c r="H93" s="8"/>
    </row>
    <row r="94" customFormat="false" ht="15" hidden="false" customHeight="false" outlineLevel="0" collapsed="false">
      <c r="A94" s="5" t="n">
        <v>54</v>
      </c>
      <c r="B94" s="5" t="str">
        <f aca="false">RB!B59</f>
        <v>Tyjae Spears</v>
      </c>
      <c r="C94" s="6" t="n">
        <f aca="false">RB!C59</f>
        <v>6.8</v>
      </c>
      <c r="D94" s="7" t="n">
        <f aca="false">RB!D59</f>
        <v>3</v>
      </c>
      <c r="E94" s="6"/>
      <c r="F94" s="8"/>
      <c r="G94" s="6"/>
      <c r="H94" s="8"/>
    </row>
    <row r="95" customFormat="false" ht="15" hidden="false" customHeight="false" outlineLevel="0" collapsed="false">
      <c r="A95" s="5" t="n">
        <v>55</v>
      </c>
      <c r="B95" s="5" t="str">
        <f aca="false">RB!B60</f>
        <v>Kendre Miller</v>
      </c>
      <c r="C95" s="6" t="n">
        <f aca="false">RB!C60</f>
        <v>6.5</v>
      </c>
      <c r="D95" s="7" t="n">
        <f aca="false">RB!D60</f>
        <v>3</v>
      </c>
      <c r="E95" s="6" t="n">
        <f aca="false">RB!V58</f>
        <v>6.4</v>
      </c>
      <c r="F95" s="7" t="n">
        <f aca="false">RB!W58</f>
        <v>3</v>
      </c>
      <c r="G95" s="6"/>
      <c r="H95" s="8"/>
    </row>
    <row r="96" customFormat="false" ht="15" hidden="false" customHeight="false" outlineLevel="0" collapsed="false">
      <c r="A96" s="5" t="n">
        <v>56</v>
      </c>
      <c r="B96" s="5" t="str">
        <f aca="false">RB!B61</f>
        <v>Rico Dowdle</v>
      </c>
      <c r="C96" s="6" t="n">
        <f aca="false">RB!C61</f>
        <v>6.1</v>
      </c>
      <c r="D96" s="7" t="n">
        <f aca="false">RB!D61</f>
        <v>4</v>
      </c>
      <c r="E96" s="6" t="n">
        <f aca="false">RB!V59</f>
        <v>5.7</v>
      </c>
      <c r="F96" s="7" t="n">
        <f aca="false">RB!W59</f>
        <v>4</v>
      </c>
      <c r="G96" s="6"/>
      <c r="H96" s="8"/>
    </row>
    <row r="97" customFormat="false" ht="15" hidden="false" customHeight="false" outlineLevel="0" collapsed="false">
      <c r="A97" s="5" t="n">
        <v>57</v>
      </c>
      <c r="B97" s="5" t="str">
        <f aca="false">RB!B62</f>
        <v>Jonah Coleman</v>
      </c>
      <c r="C97" s="6" t="n">
        <f aca="false">RB!C62</f>
        <v>5.7</v>
      </c>
      <c r="D97" s="7" t="n">
        <f aca="false">RB!D62</f>
        <v>4</v>
      </c>
      <c r="E97" s="6" t="n">
        <f aca="false">RB!V60</f>
        <v>5.6</v>
      </c>
      <c r="F97" s="7" t="n">
        <f aca="false">RB!W60</f>
        <v>4</v>
      </c>
      <c r="G97" s="6"/>
      <c r="H97" s="8"/>
    </row>
    <row r="98" customFormat="false" ht="15" hidden="false" customHeight="false" outlineLevel="0" collapsed="false">
      <c r="A98" s="5" t="n">
        <v>58</v>
      </c>
      <c r="B98" s="5" t="str">
        <f aca="false">RB!B63</f>
        <v>Sean Tucker</v>
      </c>
      <c r="C98" s="6" t="n">
        <f aca="false">RB!C63</f>
        <v>3.8</v>
      </c>
      <c r="D98" s="7" t="n">
        <f aca="false">RB!D63</f>
        <v>3</v>
      </c>
      <c r="E98" s="6" t="n">
        <f aca="false">RB!V61</f>
        <v>3.8</v>
      </c>
      <c r="F98" s="7" t="n">
        <f aca="false">RB!W61</f>
        <v>3</v>
      </c>
      <c r="G98" s="6"/>
      <c r="H98" s="8"/>
    </row>
    <row r="99" customFormat="false" ht="15" hidden="false" customHeight="false" outlineLevel="0" collapsed="false">
      <c r="A99" s="5" t="n">
        <v>59</v>
      </c>
      <c r="B99" s="5" t="str">
        <f aca="false">RB!B64</f>
        <v>Ray Davis</v>
      </c>
      <c r="C99" s="6" t="n">
        <f aca="false">RB!C64</f>
        <v>3.7</v>
      </c>
      <c r="D99" s="7" t="n">
        <f aca="false">RB!D64</f>
        <v>3</v>
      </c>
      <c r="E99" s="6" t="n">
        <f aca="false">RB!V62</f>
        <v>3.6</v>
      </c>
      <c r="F99" s="7" t="n">
        <f aca="false">RB!W62</f>
        <v>3</v>
      </c>
      <c r="G99" s="6"/>
      <c r="H99" s="8"/>
    </row>
    <row r="100" customFormat="false" ht="15" hidden="false" customHeight="false" outlineLevel="0" collapsed="false">
      <c r="A100" s="5" t="n">
        <v>60</v>
      </c>
      <c r="B100" s="5" t="str">
        <f aca="false">RB!B65</f>
        <v>Jaylen Wright</v>
      </c>
      <c r="C100" s="6" t="n">
        <f aca="false">RB!C65</f>
        <v>2.2</v>
      </c>
      <c r="D100" s="7" t="n">
        <f aca="false">RB!D65</f>
        <v>3</v>
      </c>
      <c r="E100" s="6" t="n">
        <f aca="false">RB!V63</f>
        <v>2.1</v>
      </c>
      <c r="F100" s="7" t="n">
        <f aca="false">RB!W63</f>
        <v>3</v>
      </c>
      <c r="G100" s="6"/>
      <c r="H100" s="8"/>
    </row>
    <row r="103" customFormat="false" ht="16.15" hidden="false" customHeight="false" outlineLevel="0" collapsed="false">
      <c r="A103" s="3" t="s">
        <v>11</v>
      </c>
    </row>
    <row r="104" customFormat="false" ht="15" hidden="false" customHeight="false" outlineLevel="0" collapsed="false">
      <c r="A104" s="4" t="s">
        <v>2</v>
      </c>
      <c r="B104" s="4" t="s">
        <v>3</v>
      </c>
      <c r="C104" s="4" t="s">
        <v>8</v>
      </c>
      <c r="D104" s="4" t="s">
        <v>5</v>
      </c>
      <c r="E104" s="4" t="s">
        <v>9</v>
      </c>
      <c r="F104" s="4" t="s">
        <v>5</v>
      </c>
      <c r="G104" s="4" t="s">
        <v>10</v>
      </c>
      <c r="H104" s="4" t="s">
        <v>5</v>
      </c>
    </row>
    <row r="105" customFormat="false" ht="15" hidden="false" customHeight="false" outlineLevel="0" collapsed="false">
      <c r="A105" s="5" t="n">
        <v>1</v>
      </c>
      <c r="B105" s="5" t="str">
        <f aca="false">WR!B6</f>
        <v>Jaxon Smith-Njigba</v>
      </c>
      <c r="C105" s="6" t="n">
        <f aca="false">WR!C6</f>
        <v>76</v>
      </c>
      <c r="D105" s="7" t="n">
        <f aca="false">WR!D6</f>
        <v>5</v>
      </c>
      <c r="E105" s="6" t="n">
        <f aca="false">WR!V6</f>
        <v>74.1</v>
      </c>
      <c r="F105" s="7" t="n">
        <f aca="false">WR!W6</f>
        <v>5</v>
      </c>
      <c r="G105" s="6" t="n">
        <f aca="false">WR!AO6</f>
        <v>53</v>
      </c>
      <c r="H105" s="7" t="n">
        <f aca="false">WR!AP6</f>
        <v>2</v>
      </c>
    </row>
    <row r="106" customFormat="false" ht="15" hidden="false" customHeight="false" outlineLevel="0" collapsed="false">
      <c r="A106" s="5" t="n">
        <v>2</v>
      </c>
      <c r="B106" s="5" t="str">
        <f aca="false">WR!B7</f>
        <v>Puka Nacua</v>
      </c>
      <c r="C106" s="6" t="n">
        <f aca="false">WR!C7</f>
        <v>71.5</v>
      </c>
      <c r="D106" s="7" t="n">
        <f aca="false">WR!D7</f>
        <v>5</v>
      </c>
      <c r="E106" s="6" t="n">
        <f aca="false">WR!V7</f>
        <v>69.4</v>
      </c>
      <c r="F106" s="7" t="n">
        <f aca="false">WR!W7</f>
        <v>5</v>
      </c>
      <c r="G106" s="6" t="n">
        <f aca="false">WR!AO7</f>
        <v>49</v>
      </c>
      <c r="H106" s="7" t="n">
        <f aca="false">WR!AP7</f>
        <v>2</v>
      </c>
    </row>
    <row r="107" customFormat="false" ht="15" hidden="false" customHeight="false" outlineLevel="0" collapsed="false">
      <c r="A107" s="5" t="n">
        <v>3</v>
      </c>
      <c r="B107" s="5" t="str">
        <f aca="false">WR!B8</f>
        <v>Ja'Marr Chase</v>
      </c>
      <c r="C107" s="6" t="n">
        <f aca="false">WR!C8</f>
        <v>69.7</v>
      </c>
      <c r="D107" s="7" t="n">
        <f aca="false">WR!D8</f>
        <v>5</v>
      </c>
      <c r="E107" s="6" t="n">
        <f aca="false">WR!V8</f>
        <v>68.4</v>
      </c>
      <c r="F107" s="7" t="n">
        <f aca="false">WR!W8</f>
        <v>5</v>
      </c>
      <c r="G107" s="6" t="n">
        <f aca="false">WR!AO8</f>
        <v>47.7</v>
      </c>
      <c r="H107" s="7" t="n">
        <f aca="false">WR!AP8</f>
        <v>2</v>
      </c>
    </row>
    <row r="108" customFormat="false" ht="15" hidden="false" customHeight="false" outlineLevel="0" collapsed="false">
      <c r="A108" s="5" t="n">
        <v>4</v>
      </c>
      <c r="B108" s="5" t="str">
        <f aca="false">WR!B9</f>
        <v>Amon-Ra St. Brown</v>
      </c>
      <c r="C108" s="6" t="n">
        <f aca="false">WR!C9</f>
        <v>64.3</v>
      </c>
      <c r="D108" s="7" t="n">
        <f aca="false">WR!D9</f>
        <v>5</v>
      </c>
      <c r="E108" s="6" t="n">
        <f aca="false">WR!V9</f>
        <v>62.6</v>
      </c>
      <c r="F108" s="7" t="n">
        <f aca="false">WR!W9</f>
        <v>5</v>
      </c>
      <c r="G108" s="6" t="n">
        <f aca="false">WR!AO10</f>
        <v>39.6</v>
      </c>
      <c r="H108" s="7" t="n">
        <f aca="false">WR!AP10</f>
        <v>2</v>
      </c>
    </row>
    <row r="109" customFormat="false" ht="15" hidden="false" customHeight="false" outlineLevel="0" collapsed="false">
      <c r="A109" s="5" t="n">
        <v>5</v>
      </c>
      <c r="B109" s="5" t="str">
        <f aca="false">WR!B10</f>
        <v>CeeDee Lamb</v>
      </c>
      <c r="C109" s="6" t="n">
        <f aca="false">WR!C10</f>
        <v>60.4</v>
      </c>
      <c r="D109" s="7" t="n">
        <f aca="false">WR!D10</f>
        <v>5</v>
      </c>
      <c r="E109" s="6" t="n">
        <f aca="false">WR!V10</f>
        <v>58.9</v>
      </c>
      <c r="F109" s="7" t="n">
        <f aca="false">WR!W10</f>
        <v>5</v>
      </c>
      <c r="G109" s="6" t="n">
        <f aca="false">WR!AO9</f>
        <v>41</v>
      </c>
      <c r="H109" s="7" t="n">
        <f aca="false">WR!AP9</f>
        <v>2</v>
      </c>
    </row>
    <row r="110" customFormat="false" ht="15" hidden="false" customHeight="false" outlineLevel="0" collapsed="false">
      <c r="A110" s="5" t="n">
        <v>6</v>
      </c>
      <c r="B110" s="5" t="str">
        <f aca="false">WR!B11</f>
        <v>Chris Olave</v>
      </c>
      <c r="C110" s="6" t="n">
        <f aca="false">WR!C11</f>
        <v>54.4</v>
      </c>
      <c r="D110" s="7" t="n">
        <f aca="false">WR!D11</f>
        <v>5</v>
      </c>
      <c r="E110" s="6" t="n">
        <f aca="false">WR!V11</f>
        <v>52.6</v>
      </c>
      <c r="F110" s="7" t="n">
        <f aca="false">WR!W11</f>
        <v>5</v>
      </c>
      <c r="G110" s="6" t="n">
        <f aca="false">WR!AO11</f>
        <v>36.5</v>
      </c>
      <c r="H110" s="7" t="n">
        <f aca="false">WR!AP11</f>
        <v>2</v>
      </c>
    </row>
    <row r="111" customFormat="false" ht="15" hidden="false" customHeight="false" outlineLevel="0" collapsed="false">
      <c r="A111" s="5" t="n">
        <v>7</v>
      </c>
      <c r="B111" s="5" t="str">
        <f aca="false">WR!B12</f>
        <v>Justin Jefferson</v>
      </c>
      <c r="C111" s="6" t="n">
        <f aca="false">WR!C12</f>
        <v>52.7</v>
      </c>
      <c r="D111" s="7" t="n">
        <f aca="false">WR!D12</f>
        <v>5</v>
      </c>
      <c r="E111" s="6" t="n">
        <f aca="false">WR!V12</f>
        <v>51.3</v>
      </c>
      <c r="F111" s="7" t="n">
        <f aca="false">WR!W12</f>
        <v>5</v>
      </c>
      <c r="G111" s="6" t="n">
        <f aca="false">WR!AO12</f>
        <v>35</v>
      </c>
      <c r="H111" s="7" t="n">
        <f aca="false">WR!AP12</f>
        <v>2</v>
      </c>
    </row>
    <row r="112" customFormat="false" ht="15" hidden="false" customHeight="false" outlineLevel="0" collapsed="false">
      <c r="A112" s="5" t="n">
        <v>8</v>
      </c>
      <c r="B112" s="5" t="str">
        <f aca="false">WR!B13</f>
        <v>Drake London</v>
      </c>
      <c r="C112" s="6" t="n">
        <f aca="false">WR!C13</f>
        <v>52.3</v>
      </c>
      <c r="D112" s="7" t="n">
        <f aca="false">WR!D13</f>
        <v>5</v>
      </c>
      <c r="E112" s="6" t="n">
        <f aca="false">WR!V13</f>
        <v>50.7</v>
      </c>
      <c r="F112" s="7" t="n">
        <f aca="false">WR!W13</f>
        <v>5</v>
      </c>
      <c r="G112" s="6" t="n">
        <f aca="false">WR!AO13</f>
        <v>33.7</v>
      </c>
      <c r="H112" s="7" t="n">
        <f aca="false">WR!AP13</f>
        <v>2</v>
      </c>
    </row>
    <row r="113" customFormat="false" ht="15" hidden="false" customHeight="false" outlineLevel="0" collapsed="false">
      <c r="A113" s="5" t="n">
        <v>9</v>
      </c>
      <c r="B113" s="5" t="str">
        <f aca="false">WR!B14</f>
        <v>Zay Flowers</v>
      </c>
      <c r="C113" s="6" t="n">
        <f aca="false">WR!C14</f>
        <v>51.5</v>
      </c>
      <c r="D113" s="7" t="n">
        <f aca="false">WR!D14</f>
        <v>5</v>
      </c>
      <c r="E113" s="6" t="n">
        <f aca="false">WR!V14</f>
        <v>50.2</v>
      </c>
      <c r="F113" s="7" t="n">
        <f aca="false">WR!W14</f>
        <v>5</v>
      </c>
      <c r="G113" s="6" t="n">
        <f aca="false">WR!AO14</f>
        <v>32</v>
      </c>
      <c r="H113" s="7" t="n">
        <f aca="false">WR!AP14</f>
        <v>2</v>
      </c>
    </row>
    <row r="114" customFormat="false" ht="15" hidden="false" customHeight="false" outlineLevel="0" collapsed="false">
      <c r="A114" s="5" t="n">
        <v>10</v>
      </c>
      <c r="B114" s="5" t="str">
        <f aca="false">WR!B15</f>
        <v>Nico Collins</v>
      </c>
      <c r="C114" s="6" t="n">
        <f aca="false">WR!C15</f>
        <v>48.7</v>
      </c>
      <c r="D114" s="7" t="n">
        <f aca="false">WR!D15</f>
        <v>5</v>
      </c>
      <c r="E114" s="6" t="n">
        <f aca="false">WR!V15</f>
        <v>47.4</v>
      </c>
      <c r="F114" s="7" t="n">
        <f aca="false">WR!W15</f>
        <v>5</v>
      </c>
      <c r="G114" s="6" t="n">
        <f aca="false">WR!AO15</f>
        <v>31.4</v>
      </c>
      <c r="H114" s="7" t="n">
        <f aca="false">WR!AP15</f>
        <v>2</v>
      </c>
    </row>
    <row r="115" customFormat="false" ht="15" hidden="false" customHeight="false" outlineLevel="0" collapsed="false">
      <c r="A115" s="5" t="n">
        <v>11</v>
      </c>
      <c r="B115" s="5" t="str">
        <f aca="false">WR!B16</f>
        <v>Malik Nabers</v>
      </c>
      <c r="C115" s="6" t="n">
        <f aca="false">WR!C16</f>
        <v>45</v>
      </c>
      <c r="D115" s="7" t="n">
        <f aca="false">WR!D16</f>
        <v>5</v>
      </c>
      <c r="E115" s="6" t="n">
        <f aca="false">WR!V16</f>
        <v>43.7</v>
      </c>
      <c r="F115" s="7" t="n">
        <f aca="false">WR!W16</f>
        <v>5</v>
      </c>
      <c r="G115" s="6" t="n">
        <f aca="false">WR!AO20</f>
        <v>20.6</v>
      </c>
      <c r="H115" s="7" t="n">
        <f aca="false">WR!AP20</f>
        <v>2</v>
      </c>
    </row>
    <row r="116" customFormat="false" ht="15" hidden="false" customHeight="false" outlineLevel="0" collapsed="false">
      <c r="A116" s="5" t="n">
        <v>12</v>
      </c>
      <c r="B116" s="5" t="str">
        <f aca="false">WR!B17</f>
        <v>Parker Washington</v>
      </c>
      <c r="C116" s="6" t="n">
        <f aca="false">WR!C17</f>
        <v>43.2</v>
      </c>
      <c r="D116" s="7" t="n">
        <f aca="false">WR!D17</f>
        <v>5</v>
      </c>
      <c r="E116" s="6" t="n">
        <f aca="false">WR!V17</f>
        <v>41.9</v>
      </c>
      <c r="F116" s="7" t="n">
        <f aca="false">WR!W17</f>
        <v>5</v>
      </c>
      <c r="G116" s="6" t="n">
        <f aca="false">WR!AO17</f>
        <v>23.3</v>
      </c>
      <c r="H116" s="7" t="n">
        <f aca="false">WR!AP17</f>
        <v>2</v>
      </c>
    </row>
    <row r="117" customFormat="false" ht="15" hidden="false" customHeight="false" outlineLevel="0" collapsed="false">
      <c r="A117" s="5" t="n">
        <v>13</v>
      </c>
      <c r="B117" s="5" t="str">
        <f aca="false">WR!B18</f>
        <v>Christian Watson</v>
      </c>
      <c r="C117" s="6" t="n">
        <f aca="false">WR!C18</f>
        <v>43.1</v>
      </c>
      <c r="D117" s="7" t="n">
        <f aca="false">WR!D18</f>
        <v>5</v>
      </c>
      <c r="E117" s="6" t="n">
        <f aca="false">WR!V18</f>
        <v>42.1</v>
      </c>
      <c r="F117" s="7" t="n">
        <f aca="false">WR!W18</f>
        <v>5</v>
      </c>
      <c r="G117" s="6" t="n">
        <f aca="false">WR!AO16</f>
        <v>24</v>
      </c>
      <c r="H117" s="7" t="n">
        <f aca="false">WR!AP16</f>
        <v>2</v>
      </c>
    </row>
    <row r="118" customFormat="false" ht="15" hidden="false" customHeight="false" outlineLevel="0" collapsed="false">
      <c r="A118" s="5" t="n">
        <v>14</v>
      </c>
      <c r="B118" s="5" t="str">
        <f aca="false">WR!B19</f>
        <v>Garrett Wilson</v>
      </c>
      <c r="C118" s="6" t="n">
        <f aca="false">WR!C19</f>
        <v>40.3</v>
      </c>
      <c r="D118" s="7" t="n">
        <f aca="false">WR!D19</f>
        <v>5</v>
      </c>
      <c r="E118" s="6" t="n">
        <f aca="false">WR!V19</f>
        <v>38.8</v>
      </c>
      <c r="F118" s="7" t="n">
        <f aca="false">WR!W19</f>
        <v>5</v>
      </c>
      <c r="G118" s="6" t="n">
        <f aca="false">WR!AO18</f>
        <v>22.1</v>
      </c>
      <c r="H118" s="7" t="n">
        <f aca="false">WR!AP18</f>
        <v>2</v>
      </c>
    </row>
    <row r="119" customFormat="false" ht="15" hidden="false" customHeight="false" outlineLevel="0" collapsed="false">
      <c r="A119" s="5" t="n">
        <v>15</v>
      </c>
      <c r="B119" s="5" t="str">
        <f aca="false">WR!B20</f>
        <v>Tetairoa McMillan</v>
      </c>
      <c r="C119" s="6" t="n">
        <f aca="false">WR!C20</f>
        <v>39.3</v>
      </c>
      <c r="D119" s="7" t="n">
        <f aca="false">WR!D20</f>
        <v>5</v>
      </c>
      <c r="E119" s="6" t="n">
        <f aca="false">WR!V20</f>
        <v>37.7</v>
      </c>
      <c r="F119" s="7" t="n">
        <f aca="false">WR!W20</f>
        <v>5</v>
      </c>
      <c r="G119" s="6" t="n">
        <f aca="false">WR!AO21</f>
        <v>19.8</v>
      </c>
      <c r="H119" s="7" t="n">
        <f aca="false">WR!AP21</f>
        <v>2</v>
      </c>
    </row>
    <row r="120" customFormat="false" ht="15" hidden="false" customHeight="false" outlineLevel="0" collapsed="false">
      <c r="A120" s="5" t="n">
        <v>16</v>
      </c>
      <c r="B120" s="5" t="str">
        <f aca="false">WR!B21</f>
        <v>George Pickens</v>
      </c>
      <c r="C120" s="6" t="n">
        <f aca="false">WR!C21</f>
        <v>37.8</v>
      </c>
      <c r="D120" s="7" t="n">
        <f aca="false">WR!D21</f>
        <v>5</v>
      </c>
      <c r="E120" s="6" t="n">
        <f aca="false">WR!V21</f>
        <v>37.2</v>
      </c>
      <c r="F120" s="7" t="n">
        <f aca="false">WR!W21</f>
        <v>5</v>
      </c>
      <c r="G120" s="6" t="n">
        <f aca="false">WR!AO19</f>
        <v>20.7</v>
      </c>
      <c r="H120" s="7" t="n">
        <f aca="false">WR!AP19</f>
        <v>2</v>
      </c>
    </row>
    <row r="121" customFormat="false" ht="15" hidden="false" customHeight="false" outlineLevel="0" collapsed="false">
      <c r="A121" s="5" t="n">
        <v>17</v>
      </c>
      <c r="B121" s="5" t="str">
        <f aca="false">WR!B22</f>
        <v>Mike Evans</v>
      </c>
      <c r="C121" s="6" t="n">
        <f aca="false">WR!C22</f>
        <v>35</v>
      </c>
      <c r="D121" s="7" t="n">
        <f aca="false">WR!D22</f>
        <v>5</v>
      </c>
      <c r="E121" s="6" t="n">
        <f aca="false">WR!V22</f>
        <v>34.2</v>
      </c>
      <c r="F121" s="7" t="n">
        <f aca="false">WR!W22</f>
        <v>5</v>
      </c>
      <c r="G121" s="6" t="n">
        <f aca="false">WR!AO25</f>
        <v>17.5</v>
      </c>
      <c r="H121" s="7" t="n">
        <f aca="false">WR!AP25</f>
        <v>2</v>
      </c>
    </row>
    <row r="122" customFormat="false" ht="15" hidden="false" customHeight="false" outlineLevel="0" collapsed="false">
      <c r="A122" s="5" t="n">
        <v>18</v>
      </c>
      <c r="B122" s="5" t="str">
        <f aca="false">WR!B23</f>
        <v>DeVonta Smith</v>
      </c>
      <c r="C122" s="6" t="n">
        <f aca="false">WR!C23</f>
        <v>34</v>
      </c>
      <c r="D122" s="7" t="n">
        <f aca="false">WR!D23</f>
        <v>5</v>
      </c>
      <c r="E122" s="6" t="n">
        <f aca="false">WR!V23</f>
        <v>32.9</v>
      </c>
      <c r="F122" s="7" t="n">
        <f aca="false">WR!W23</f>
        <v>5</v>
      </c>
      <c r="G122" s="6" t="n">
        <f aca="false">WR!AO22</f>
        <v>18.3</v>
      </c>
      <c r="H122" s="7" t="n">
        <f aca="false">WR!AP22</f>
        <v>2</v>
      </c>
    </row>
    <row r="123" customFormat="false" ht="15" hidden="false" customHeight="false" outlineLevel="0" collapsed="false">
      <c r="A123" s="5" t="n">
        <v>19</v>
      </c>
      <c r="B123" s="5" t="str">
        <f aca="false">WR!B24</f>
        <v>Matthew Golden</v>
      </c>
      <c r="C123" s="6" t="n">
        <f aca="false">WR!C24</f>
        <v>33.6</v>
      </c>
      <c r="D123" s="7" t="n">
        <f aca="false">WR!D24</f>
        <v>5</v>
      </c>
      <c r="E123" s="6" t="n">
        <f aca="false">WR!V24</f>
        <v>32.7</v>
      </c>
      <c r="F123" s="7" t="n">
        <f aca="false">WR!W24</f>
        <v>5</v>
      </c>
      <c r="G123" s="6" t="n">
        <f aca="false">WR!AO24</f>
        <v>17.8</v>
      </c>
      <c r="H123" s="7" t="n">
        <f aca="false">WR!AP24</f>
        <v>2</v>
      </c>
    </row>
    <row r="124" customFormat="false" ht="15" hidden="false" customHeight="false" outlineLevel="0" collapsed="false">
      <c r="A124" s="5" t="n">
        <v>20</v>
      </c>
      <c r="B124" s="5" t="str">
        <f aca="false">WR!B25</f>
        <v>A.J. Brown</v>
      </c>
      <c r="C124" s="6" t="n">
        <f aca="false">WR!C25</f>
        <v>32.4</v>
      </c>
      <c r="D124" s="7" t="n">
        <f aca="false">WR!D25</f>
        <v>5</v>
      </c>
      <c r="E124" s="6" t="n">
        <f aca="false">WR!V25</f>
        <v>31.4</v>
      </c>
      <c r="F124" s="7" t="n">
        <f aca="false">WR!W25</f>
        <v>5</v>
      </c>
      <c r="G124" s="6" t="n">
        <f aca="false">WR!AO23</f>
        <v>18</v>
      </c>
      <c r="H124" s="7" t="n">
        <f aca="false">WR!AP23</f>
        <v>2</v>
      </c>
    </row>
    <row r="125" customFormat="false" ht="15" hidden="false" customHeight="false" outlineLevel="0" collapsed="false">
      <c r="A125" s="5" t="n">
        <v>21</v>
      </c>
      <c r="B125" s="5" t="str">
        <f aca="false">WR!B26</f>
        <v>Davante Adams</v>
      </c>
      <c r="C125" s="6" t="n">
        <f aca="false">WR!C26</f>
        <v>32.3</v>
      </c>
      <c r="D125" s="7" t="n">
        <f aca="false">WR!D26</f>
        <v>5</v>
      </c>
      <c r="E125" s="6" t="n">
        <f aca="false">WR!V26</f>
        <v>32</v>
      </c>
      <c r="F125" s="7" t="n">
        <f aca="false">WR!W26</f>
        <v>5</v>
      </c>
      <c r="G125" s="6" t="n">
        <f aca="false">WR!AO26</f>
        <v>16.4</v>
      </c>
      <c r="H125" s="7" t="n">
        <f aca="false">WR!AP26</f>
        <v>2</v>
      </c>
    </row>
    <row r="126" customFormat="false" ht="15" hidden="false" customHeight="false" outlineLevel="0" collapsed="false">
      <c r="A126" s="5" t="n">
        <v>22</v>
      </c>
      <c r="B126" s="5" t="str">
        <f aca="false">WR!B27</f>
        <v>Tee Higgins</v>
      </c>
      <c r="C126" s="6" t="n">
        <f aca="false">WR!C27</f>
        <v>30.6</v>
      </c>
      <c r="D126" s="7" t="n">
        <f aca="false">WR!D27</f>
        <v>5</v>
      </c>
      <c r="E126" s="6" t="n">
        <f aca="false">WR!V27</f>
        <v>29.8</v>
      </c>
      <c r="F126" s="7" t="n">
        <f aca="false">WR!W27</f>
        <v>5</v>
      </c>
      <c r="G126" s="6" t="n">
        <f aca="false">WR!AO27</f>
        <v>15</v>
      </c>
      <c r="H126" s="7" t="n">
        <f aca="false">WR!AP27</f>
        <v>2</v>
      </c>
    </row>
    <row r="127" customFormat="false" ht="15" hidden="false" customHeight="false" outlineLevel="0" collapsed="false">
      <c r="A127" s="5" t="n">
        <v>23</v>
      </c>
      <c r="B127" s="5" t="str">
        <f aca="false">WR!B28</f>
        <v>Michael Wilson</v>
      </c>
      <c r="C127" s="6" t="n">
        <f aca="false">WR!C28</f>
        <v>30.5</v>
      </c>
      <c r="D127" s="7" t="n">
        <f aca="false">WR!D28</f>
        <v>5</v>
      </c>
      <c r="E127" s="6" t="n">
        <f aca="false">WR!V28</f>
        <v>28.5</v>
      </c>
      <c r="F127" s="7" t="n">
        <f aca="false">WR!W28</f>
        <v>5</v>
      </c>
      <c r="G127" s="6" t="n">
        <f aca="false">WR!AO29</f>
        <v>10.8</v>
      </c>
      <c r="H127" s="7" t="n">
        <f aca="false">WR!AP29</f>
        <v>2</v>
      </c>
    </row>
    <row r="128" customFormat="false" ht="15" hidden="false" customHeight="false" outlineLevel="0" collapsed="false">
      <c r="A128" s="5" t="n">
        <v>24</v>
      </c>
      <c r="B128" s="5" t="str">
        <f aca="false">WR!B29</f>
        <v>DJ Moore</v>
      </c>
      <c r="C128" s="6" t="n">
        <f aca="false">WR!C29</f>
        <v>27.2</v>
      </c>
      <c r="D128" s="7" t="n">
        <f aca="false">WR!D29</f>
        <v>5</v>
      </c>
      <c r="E128" s="6" t="n">
        <f aca="false">WR!V29</f>
        <v>26.5</v>
      </c>
      <c r="F128" s="7" t="n">
        <f aca="false">WR!W29</f>
        <v>5</v>
      </c>
      <c r="G128" s="6" t="n">
        <f aca="false">WR!AO28</f>
        <v>12</v>
      </c>
      <c r="H128" s="7" t="n">
        <f aca="false">WR!AP28</f>
        <v>2</v>
      </c>
    </row>
    <row r="129" customFormat="false" ht="15" hidden="false" customHeight="false" outlineLevel="0" collapsed="false">
      <c r="A129" s="5" t="n">
        <v>25</v>
      </c>
      <c r="B129" s="5" t="str">
        <f aca="false">WR!B30</f>
        <v>Jalen Coker</v>
      </c>
      <c r="C129" s="6" t="n">
        <f aca="false">WR!C30</f>
        <v>24.5</v>
      </c>
      <c r="D129" s="7" t="n">
        <f aca="false">WR!D30</f>
        <v>5</v>
      </c>
      <c r="E129" s="6" t="n">
        <f aca="false">WR!V30</f>
        <v>23.7</v>
      </c>
      <c r="F129" s="7" t="n">
        <f aca="false">WR!W30</f>
        <v>5</v>
      </c>
      <c r="G129" s="6" t="n">
        <f aca="false">WR!AO34</f>
        <v>8.7</v>
      </c>
      <c r="H129" s="7" t="n">
        <f aca="false">WR!AP34</f>
        <v>2</v>
      </c>
    </row>
    <row r="130" customFormat="false" ht="15" hidden="false" customHeight="false" outlineLevel="0" collapsed="false">
      <c r="A130" s="5" t="n">
        <v>26</v>
      </c>
      <c r="B130" s="5" t="str">
        <f aca="false">WR!B31</f>
        <v>Rashee Rice</v>
      </c>
      <c r="C130" s="6" t="n">
        <f aca="false">WR!C31</f>
        <v>24.1</v>
      </c>
      <c r="D130" s="7" t="n">
        <f aca="false">WR!D31</f>
        <v>5</v>
      </c>
      <c r="E130" s="6" t="n">
        <f aca="false">WR!V31</f>
        <v>23.3</v>
      </c>
      <c r="F130" s="7" t="n">
        <f aca="false">WR!W31</f>
        <v>5</v>
      </c>
      <c r="G130" s="6" t="n">
        <f aca="false">WR!AO30</f>
        <v>10.3</v>
      </c>
      <c r="H130" s="7" t="n">
        <f aca="false">WR!AP30</f>
        <v>2</v>
      </c>
    </row>
    <row r="131" customFormat="false" ht="15" hidden="false" customHeight="false" outlineLevel="0" collapsed="false">
      <c r="A131" s="5" t="n">
        <v>27</v>
      </c>
      <c r="B131" s="5" t="str">
        <f aca="false">WR!B32</f>
        <v>Jameson Williams</v>
      </c>
      <c r="C131" s="6" t="n">
        <f aca="false">WR!C32</f>
        <v>23.9</v>
      </c>
      <c r="D131" s="7" t="n">
        <f aca="false">WR!D32</f>
        <v>5</v>
      </c>
      <c r="E131" s="6" t="n">
        <f aca="false">WR!V32</f>
        <v>23.7</v>
      </c>
      <c r="F131" s="7" t="n">
        <f aca="false">WR!W32</f>
        <v>5</v>
      </c>
      <c r="G131" s="6" t="n">
        <f aca="false">WR!AO35</f>
        <v>7.6</v>
      </c>
      <c r="H131" s="7" t="n">
        <f aca="false">WR!AP35</f>
        <v>2</v>
      </c>
    </row>
    <row r="132" customFormat="false" ht="15" hidden="false" customHeight="false" outlineLevel="0" collapsed="false">
      <c r="A132" s="5" t="n">
        <v>28</v>
      </c>
      <c r="B132" s="5" t="str">
        <f aca="false">WR!B33</f>
        <v>Terry McLaurin</v>
      </c>
      <c r="C132" s="6" t="n">
        <f aca="false">WR!C33</f>
        <v>23.6</v>
      </c>
      <c r="D132" s="7" t="n">
        <f aca="false">WR!D33</f>
        <v>5</v>
      </c>
      <c r="E132" s="6" t="n">
        <f aca="false">WR!V33</f>
        <v>23.1</v>
      </c>
      <c r="F132" s="7" t="n">
        <f aca="false">WR!W33</f>
        <v>5</v>
      </c>
      <c r="G132" s="6" t="n">
        <f aca="false">WR!AO31</f>
        <v>9.2</v>
      </c>
      <c r="H132" s="7" t="n">
        <f aca="false">WR!AP31</f>
        <v>2</v>
      </c>
    </row>
    <row r="133" customFormat="false" ht="15" hidden="false" customHeight="false" outlineLevel="0" collapsed="false">
      <c r="A133" s="5" t="n">
        <v>29</v>
      </c>
      <c r="B133" s="5" t="str">
        <f aca="false">WR!B34</f>
        <v>Luther Burden III</v>
      </c>
      <c r="C133" s="6" t="n">
        <f aca="false">WR!C34</f>
        <v>22.9</v>
      </c>
      <c r="D133" s="7" t="n">
        <f aca="false">WR!D34</f>
        <v>5</v>
      </c>
      <c r="E133" s="6" t="n">
        <f aca="false">WR!V34</f>
        <v>22.4</v>
      </c>
      <c r="F133" s="7" t="n">
        <f aca="false">WR!W34</f>
        <v>5</v>
      </c>
      <c r="G133" s="6" t="n">
        <f aca="false">WR!AO33</f>
        <v>8.7</v>
      </c>
      <c r="H133" s="7" t="n">
        <f aca="false">WR!AP33</f>
        <v>2</v>
      </c>
    </row>
    <row r="134" customFormat="false" ht="15" hidden="false" customHeight="false" outlineLevel="0" collapsed="false">
      <c r="A134" s="5" t="n">
        <v>30</v>
      </c>
      <c r="B134" s="5" t="str">
        <f aca="false">WR!B35</f>
        <v>Jaylen Waddle</v>
      </c>
      <c r="C134" s="6" t="n">
        <f aca="false">WR!C35</f>
        <v>22.5</v>
      </c>
      <c r="D134" s="7" t="n">
        <f aca="false">WR!D35</f>
        <v>5</v>
      </c>
      <c r="E134" s="6" t="n">
        <f aca="false">WR!V35</f>
        <v>22.4</v>
      </c>
      <c r="F134" s="7" t="n">
        <f aca="false">WR!W35</f>
        <v>5</v>
      </c>
      <c r="G134" s="6" t="n">
        <f aca="false">WR!AO36</f>
        <v>7.5</v>
      </c>
      <c r="H134" s="7" t="n">
        <f aca="false">WR!AP36</f>
        <v>2</v>
      </c>
    </row>
    <row r="135" customFormat="false" ht="15" hidden="false" customHeight="false" outlineLevel="0" collapsed="false">
      <c r="A135" s="5" t="n">
        <v>31</v>
      </c>
      <c r="B135" s="5" t="str">
        <f aca="false">WR!B36</f>
        <v>Denzel Boston</v>
      </c>
      <c r="C135" s="6" t="n">
        <f aca="false">WR!C36</f>
        <v>21.2</v>
      </c>
      <c r="D135" s="7" t="n">
        <f aca="false">WR!D36</f>
        <v>5</v>
      </c>
      <c r="E135" s="6" t="n">
        <f aca="false">WR!V36</f>
        <v>21.1</v>
      </c>
      <c r="F135" s="7" t="n">
        <f aca="false">WR!W36</f>
        <v>5</v>
      </c>
      <c r="G135" s="6" t="n">
        <f aca="false">WR!AO38</f>
        <v>6.2</v>
      </c>
      <c r="H135" s="7" t="n">
        <f aca="false">WR!AP38</f>
        <v>2</v>
      </c>
    </row>
    <row r="136" customFormat="false" ht="15" hidden="false" customHeight="false" outlineLevel="0" collapsed="false">
      <c r="A136" s="5" t="n">
        <v>32</v>
      </c>
      <c r="B136" s="5" t="str">
        <f aca="false">WR!B37</f>
        <v>Ladd McConkey</v>
      </c>
      <c r="C136" s="6" t="n">
        <f aca="false">WR!C37</f>
        <v>21.2</v>
      </c>
      <c r="D136" s="7" t="n">
        <f aca="false">WR!D37</f>
        <v>5</v>
      </c>
      <c r="E136" s="6" t="n">
        <f aca="false">WR!V37</f>
        <v>20.8</v>
      </c>
      <c r="F136" s="7" t="n">
        <f aca="false">WR!W37</f>
        <v>5</v>
      </c>
      <c r="G136" s="6" t="n">
        <f aca="false">WR!AO32</f>
        <v>9</v>
      </c>
      <c r="H136" s="7" t="n">
        <f aca="false">WR!AP32</f>
        <v>2</v>
      </c>
    </row>
    <row r="137" customFormat="false" ht="15" hidden="false" customHeight="false" outlineLevel="0" collapsed="false">
      <c r="A137" s="5" t="n">
        <v>33</v>
      </c>
      <c r="B137" s="5" t="str">
        <f aca="false">WR!B38</f>
        <v>Emeka Egbuka</v>
      </c>
      <c r="C137" s="6" t="n">
        <f aca="false">WR!C38</f>
        <v>20.7</v>
      </c>
      <c r="D137" s="7" t="n">
        <f aca="false">WR!D38</f>
        <v>5</v>
      </c>
      <c r="E137" s="6" t="n">
        <f aca="false">WR!V38</f>
        <v>20.5</v>
      </c>
      <c r="F137" s="7" t="n">
        <f aca="false">WR!W38</f>
        <v>5</v>
      </c>
      <c r="G137" s="6" t="n">
        <f aca="false">WR!AO37</f>
        <v>7.1</v>
      </c>
      <c r="H137" s="7" t="n">
        <f aca="false">WR!AP37</f>
        <v>2</v>
      </c>
    </row>
    <row r="138" customFormat="false" ht="15" hidden="false" customHeight="false" outlineLevel="0" collapsed="false">
      <c r="A138" s="5" t="n">
        <v>34</v>
      </c>
      <c r="B138" s="5" t="str">
        <f aca="false">WR!B39</f>
        <v>Carnell Tate</v>
      </c>
      <c r="C138" s="6" t="n">
        <f aca="false">WR!C39</f>
        <v>18.9</v>
      </c>
      <c r="D138" s="7" t="n">
        <f aca="false">WR!D39</f>
        <v>5</v>
      </c>
      <c r="E138" s="6" t="n">
        <f aca="false">WR!V39</f>
        <v>18.5</v>
      </c>
      <c r="F138" s="7" t="n">
        <f aca="false">WR!W39</f>
        <v>5</v>
      </c>
      <c r="G138" s="6" t="n">
        <f aca="false">WR!AO40</f>
        <v>3.7</v>
      </c>
      <c r="H138" s="7" t="n">
        <f aca="false">WR!AP40</f>
        <v>2</v>
      </c>
    </row>
    <row r="139" customFormat="false" ht="15" hidden="false" customHeight="false" outlineLevel="0" collapsed="false">
      <c r="A139" s="5" t="n">
        <v>35</v>
      </c>
      <c r="B139" s="5" t="str">
        <f aca="false">WR!B40</f>
        <v>DK Metcalf</v>
      </c>
      <c r="C139" s="6" t="n">
        <f aca="false">WR!C40</f>
        <v>18.3</v>
      </c>
      <c r="D139" s="7" t="n">
        <f aca="false">WR!D40</f>
        <v>5</v>
      </c>
      <c r="E139" s="6" t="n">
        <f aca="false">WR!V40</f>
        <v>18</v>
      </c>
      <c r="F139" s="7" t="n">
        <f aca="false">WR!W40</f>
        <v>5</v>
      </c>
      <c r="G139" s="6" t="n">
        <f aca="false">WR!AO39</f>
        <v>5.3</v>
      </c>
      <c r="H139" s="7" t="n">
        <f aca="false">WR!AP39</f>
        <v>2</v>
      </c>
    </row>
    <row r="140" customFormat="false" ht="15" hidden="false" customHeight="false" outlineLevel="0" collapsed="false">
      <c r="A140" s="5" t="n">
        <v>36</v>
      </c>
      <c r="B140" s="5" t="str">
        <f aca="false">WR!B41</f>
        <v>Rome Odunze</v>
      </c>
      <c r="C140" s="6" t="n">
        <f aca="false">WR!C41</f>
        <v>17.7</v>
      </c>
      <c r="D140" s="7" t="n">
        <f aca="false">WR!D41</f>
        <v>5</v>
      </c>
      <c r="E140" s="6" t="n">
        <f aca="false">WR!V41</f>
        <v>17.3</v>
      </c>
      <c r="F140" s="7" t="n">
        <f aca="false">WR!W41</f>
        <v>5</v>
      </c>
      <c r="G140" s="6" t="n">
        <f aca="false">WR!AO42</f>
        <v>2.3</v>
      </c>
      <c r="H140" s="7" t="n">
        <f aca="false">WR!AP42</f>
        <v>2</v>
      </c>
    </row>
    <row r="141" customFormat="false" ht="15" hidden="false" customHeight="false" outlineLevel="0" collapsed="false">
      <c r="A141" s="5" t="n">
        <v>37</v>
      </c>
      <c r="B141" s="5" t="str">
        <f aca="false">WR!B42</f>
        <v>Deebo Samuel Sr.</v>
      </c>
      <c r="C141" s="6" t="n">
        <f aca="false">WR!C42</f>
        <v>16.9</v>
      </c>
      <c r="D141" s="7" t="n">
        <f aca="false">WR!D42</f>
        <v>4</v>
      </c>
      <c r="E141" s="6" t="n">
        <f aca="false">WR!V42</f>
        <v>16.8</v>
      </c>
      <c r="F141" s="7" t="n">
        <f aca="false">WR!W42</f>
        <v>4</v>
      </c>
      <c r="G141" s="6"/>
      <c r="H141" s="8"/>
    </row>
    <row r="142" customFormat="false" ht="15" hidden="false" customHeight="false" outlineLevel="0" collapsed="false">
      <c r="A142" s="5" t="n">
        <v>38</v>
      </c>
      <c r="B142" s="5" t="str">
        <f aca="false">WR!B43</f>
        <v>Romeo Doubs</v>
      </c>
      <c r="C142" s="6" t="n">
        <f aca="false">WR!C43</f>
        <v>15</v>
      </c>
      <c r="D142" s="7" t="n">
        <f aca="false">WR!D43</f>
        <v>4</v>
      </c>
      <c r="E142" s="6" t="n">
        <f aca="false">WR!V43</f>
        <v>14.6</v>
      </c>
      <c r="F142" s="7" t="n">
        <f aca="false">WR!W43</f>
        <v>4</v>
      </c>
      <c r="G142" s="6"/>
      <c r="H142" s="8"/>
    </row>
    <row r="143" customFormat="false" ht="15" hidden="false" customHeight="false" outlineLevel="0" collapsed="false">
      <c r="A143" s="5" t="n">
        <v>39</v>
      </c>
      <c r="B143" s="5" t="str">
        <f aca="false">WR!B44</f>
        <v>Stefon Diggs</v>
      </c>
      <c r="C143" s="6" t="n">
        <f aca="false">WR!C44</f>
        <v>14.7</v>
      </c>
      <c r="D143" s="7" t="n">
        <f aca="false">WR!D44</f>
        <v>5</v>
      </c>
      <c r="E143" s="6" t="n">
        <f aca="false">WR!V44</f>
        <v>14.4</v>
      </c>
      <c r="F143" s="7" t="n">
        <f aca="false">WR!W44</f>
        <v>5</v>
      </c>
      <c r="G143" s="6" t="n">
        <f aca="false">WR!AO41</f>
        <v>3.2</v>
      </c>
      <c r="H143" s="7" t="n">
        <f aca="false">WR!AP41</f>
        <v>2</v>
      </c>
    </row>
    <row r="144" customFormat="false" ht="15" hidden="false" customHeight="false" outlineLevel="0" collapsed="false">
      <c r="A144" s="5" t="n">
        <v>40</v>
      </c>
      <c r="B144" s="5" t="str">
        <f aca="false">WR!B45</f>
        <v>Malik Washington</v>
      </c>
      <c r="C144" s="6" t="n">
        <f aca="false">WR!C45</f>
        <v>13.5</v>
      </c>
      <c r="D144" s="7" t="n">
        <f aca="false">WR!D45</f>
        <v>4</v>
      </c>
      <c r="E144" s="6" t="n">
        <f aca="false">WR!V45</f>
        <v>12</v>
      </c>
      <c r="F144" s="7" t="n">
        <f aca="false">WR!W45</f>
        <v>4</v>
      </c>
      <c r="G144" s="6"/>
      <c r="H144" s="8"/>
    </row>
    <row r="145" customFormat="false" ht="15" hidden="false" customHeight="false" outlineLevel="0" collapsed="false">
      <c r="A145" s="5" t="n">
        <v>41</v>
      </c>
      <c r="B145" s="5" t="str">
        <f aca="false">WR!B46</f>
        <v>Jordyn Tyson</v>
      </c>
      <c r="C145" s="6" t="n">
        <f aca="false">WR!C46</f>
        <v>12.9</v>
      </c>
      <c r="D145" s="7" t="n">
        <f aca="false">WR!D46</f>
        <v>5</v>
      </c>
      <c r="E145" s="6" t="n">
        <f aca="false">WR!V46</f>
        <v>12.9</v>
      </c>
      <c r="F145" s="7" t="n">
        <f aca="false">WR!W46</f>
        <v>5</v>
      </c>
      <c r="G145" s="6" t="n">
        <f aca="false">WR!AO45</f>
        <v>0</v>
      </c>
      <c r="H145" s="7" t="n">
        <f aca="false">WR!AP45</f>
        <v>2</v>
      </c>
    </row>
    <row r="146" customFormat="false" ht="15" hidden="false" customHeight="false" outlineLevel="0" collapsed="false">
      <c r="A146" s="5" t="n">
        <v>42</v>
      </c>
      <c r="B146" s="5" t="str">
        <f aca="false">WR!B47</f>
        <v>Josh Downs</v>
      </c>
      <c r="C146" s="6" t="n">
        <f aca="false">WR!C47</f>
        <v>12.9</v>
      </c>
      <c r="D146" s="7" t="n">
        <f aca="false">WR!D47</f>
        <v>5</v>
      </c>
      <c r="E146" s="6" t="n">
        <f aca="false">WR!V47</f>
        <v>12.7</v>
      </c>
      <c r="F146" s="7" t="n">
        <f aca="false">WR!W47</f>
        <v>5</v>
      </c>
      <c r="G146" s="6"/>
      <c r="H146" s="8"/>
    </row>
    <row r="147" customFormat="false" ht="15" hidden="false" customHeight="false" outlineLevel="0" collapsed="false">
      <c r="A147" s="5" t="n">
        <v>43</v>
      </c>
      <c r="B147" s="5" t="str">
        <f aca="false">WR!B48</f>
        <v>Jakobi Meyers</v>
      </c>
      <c r="C147" s="6" t="n">
        <f aca="false">WR!C48</f>
        <v>12.8</v>
      </c>
      <c r="D147" s="7" t="n">
        <f aca="false">WR!D48</f>
        <v>4</v>
      </c>
      <c r="E147" s="6" t="n">
        <f aca="false">WR!V48</f>
        <v>12.5</v>
      </c>
      <c r="F147" s="7" t="n">
        <f aca="false">WR!W48</f>
        <v>4</v>
      </c>
      <c r="G147" s="6"/>
      <c r="H147" s="8"/>
    </row>
    <row r="148" customFormat="false" ht="15" hidden="false" customHeight="false" outlineLevel="0" collapsed="false">
      <c r="A148" s="5" t="n">
        <v>44</v>
      </c>
      <c r="B148" s="5" t="str">
        <f aca="false">WR!B49</f>
        <v>Jordan Addison</v>
      </c>
      <c r="C148" s="6" t="n">
        <f aca="false">WR!C49</f>
        <v>12.7</v>
      </c>
      <c r="D148" s="7" t="n">
        <f aca="false">WR!D49</f>
        <v>5</v>
      </c>
      <c r="E148" s="6" t="n">
        <f aca="false">WR!V49</f>
        <v>12.1</v>
      </c>
      <c r="F148" s="7" t="n">
        <f aca="false">WR!W49</f>
        <v>5</v>
      </c>
      <c r="G148" s="6" t="n">
        <f aca="false">WR!AO46</f>
        <v>0</v>
      </c>
      <c r="H148" s="7" t="n">
        <f aca="false">WR!AP46</f>
        <v>2</v>
      </c>
    </row>
    <row r="149" customFormat="false" ht="15" hidden="false" customHeight="false" outlineLevel="0" collapsed="false">
      <c r="A149" s="5" t="n">
        <v>45</v>
      </c>
      <c r="B149" s="5" t="str">
        <f aca="false">WR!B50</f>
        <v>Wan'Dale Robinson</v>
      </c>
      <c r="C149" s="6" t="n">
        <f aca="false">WR!C50</f>
        <v>12.3</v>
      </c>
      <c r="D149" s="7" t="n">
        <f aca="false">WR!D50</f>
        <v>4</v>
      </c>
      <c r="E149" s="6" t="n">
        <f aca="false">WR!V50</f>
        <v>10.6</v>
      </c>
      <c r="F149" s="7" t="n">
        <f aca="false">WR!W50</f>
        <v>4</v>
      </c>
      <c r="G149" s="6"/>
      <c r="H149" s="8"/>
    </row>
    <row r="150" customFormat="false" ht="15" hidden="false" customHeight="false" outlineLevel="0" collapsed="false">
      <c r="A150" s="5" t="n">
        <v>46</v>
      </c>
      <c r="B150" s="5" t="str">
        <f aca="false">WR!B51</f>
        <v>KC Concepcion Jr.</v>
      </c>
      <c r="C150" s="6" t="n">
        <f aca="false">WR!C51</f>
        <v>11.3</v>
      </c>
      <c r="D150" s="7" t="n">
        <f aca="false">WR!D51</f>
        <v>4</v>
      </c>
      <c r="E150" s="6" t="n">
        <f aca="false">WR!V51</f>
        <v>11.2</v>
      </c>
      <c r="F150" s="7" t="n">
        <f aca="false">WR!W51</f>
        <v>4</v>
      </c>
      <c r="G150" s="6"/>
      <c r="H150" s="8"/>
    </row>
    <row r="151" customFormat="false" ht="15" hidden="false" customHeight="false" outlineLevel="0" collapsed="false">
      <c r="A151" s="5" t="n">
        <v>47</v>
      </c>
      <c r="B151" s="5" t="str">
        <f aca="false">WR!B52</f>
        <v>Khalil Shakir</v>
      </c>
      <c r="C151" s="6" t="n">
        <f aca="false">WR!C52</f>
        <v>10.7</v>
      </c>
      <c r="D151" s="7" t="n">
        <f aca="false">WR!D52</f>
        <v>4</v>
      </c>
      <c r="E151" s="6" t="n">
        <f aca="false">WR!V52</f>
        <v>9.3</v>
      </c>
      <c r="F151" s="7" t="n">
        <f aca="false">WR!W52</f>
        <v>4</v>
      </c>
      <c r="G151" s="6"/>
      <c r="H151" s="8"/>
    </row>
    <row r="152" customFormat="false" ht="15" hidden="false" customHeight="false" outlineLevel="0" collapsed="false">
      <c r="A152" s="5" t="n">
        <v>48</v>
      </c>
      <c r="B152" s="5" t="str">
        <f aca="false">WR!B53</f>
        <v>Adonai Mitchell</v>
      </c>
      <c r="C152" s="6" t="n">
        <f aca="false">WR!C53</f>
        <v>10.1</v>
      </c>
      <c r="D152" s="7" t="n">
        <f aca="false">WR!D53</f>
        <v>4</v>
      </c>
      <c r="E152" s="6" t="n">
        <f aca="false">WR!V53</f>
        <v>10</v>
      </c>
      <c r="F152" s="7" t="n">
        <f aca="false">WR!W53</f>
        <v>4</v>
      </c>
      <c r="G152" s="6"/>
      <c r="H152" s="8"/>
    </row>
    <row r="153" customFormat="false" ht="15" hidden="false" customHeight="false" outlineLevel="0" collapsed="false">
      <c r="A153" s="5" t="n">
        <v>49</v>
      </c>
      <c r="B153" s="5" t="str">
        <f aca="false">WR!B54</f>
        <v>Devaughn Vele</v>
      </c>
      <c r="C153" s="6" t="n">
        <f aca="false">WR!C54</f>
        <v>9.6</v>
      </c>
      <c r="D153" s="7" t="n">
        <f aca="false">WR!D54</f>
        <v>5</v>
      </c>
      <c r="E153" s="6" t="n">
        <f aca="false">WR!V54</f>
        <v>9.6</v>
      </c>
      <c r="F153" s="7" t="n">
        <f aca="false">WR!W54</f>
        <v>5</v>
      </c>
      <c r="G153" s="6"/>
      <c r="H153" s="8"/>
    </row>
    <row r="154" customFormat="false" ht="15" hidden="false" customHeight="false" outlineLevel="0" collapsed="false">
      <c r="A154" s="5" t="n">
        <v>50</v>
      </c>
      <c r="B154" s="5" t="str">
        <f aca="false">WR!B55</f>
        <v>Kendrick Bourne</v>
      </c>
      <c r="C154" s="6" t="n">
        <f aca="false">WR!C55</f>
        <v>9.1</v>
      </c>
      <c r="D154" s="7" t="n">
        <f aca="false">WR!D55</f>
        <v>3</v>
      </c>
      <c r="E154" s="6" t="n">
        <f aca="false">WR!V55</f>
        <v>7.9</v>
      </c>
      <c r="F154" s="7" t="n">
        <f aca="false">WR!W55</f>
        <v>3</v>
      </c>
      <c r="G154" s="6"/>
      <c r="H154" s="8"/>
    </row>
    <row r="155" customFormat="false" ht="15" hidden="false" customHeight="false" outlineLevel="0" collapsed="false">
      <c r="A155" s="5" t="n">
        <v>51</v>
      </c>
      <c r="B155" s="5" t="str">
        <f aca="false">WR!B56</f>
        <v>Germie Bernard</v>
      </c>
      <c r="C155" s="6" t="n">
        <f aca="false">WR!C56</f>
        <v>9.1</v>
      </c>
      <c r="D155" s="7" t="n">
        <f aca="false">WR!D56</f>
        <v>4</v>
      </c>
      <c r="E155" s="6" t="n">
        <f aca="false">WR!V56</f>
        <v>9</v>
      </c>
      <c r="F155" s="7" t="n">
        <f aca="false">WR!W56</f>
        <v>4</v>
      </c>
      <c r="G155" s="6"/>
      <c r="H155" s="8"/>
    </row>
    <row r="156" customFormat="false" ht="15" hidden="false" customHeight="false" outlineLevel="0" collapsed="false">
      <c r="A156" s="5" t="n">
        <v>52</v>
      </c>
      <c r="B156" s="5" t="str">
        <f aca="false">WR!B57</f>
        <v>Marvin Harrison Jr.</v>
      </c>
      <c r="C156" s="6" t="n">
        <f aca="false">WR!C57</f>
        <v>9</v>
      </c>
      <c r="D156" s="7" t="n">
        <f aca="false">WR!D57</f>
        <v>5</v>
      </c>
      <c r="E156" s="6" t="n">
        <f aca="false">WR!V57</f>
        <v>8.9</v>
      </c>
      <c r="F156" s="7" t="n">
        <f aca="false">WR!W57</f>
        <v>5</v>
      </c>
      <c r="G156" s="6" t="n">
        <f aca="false">WR!AO43</f>
        <v>0.7</v>
      </c>
      <c r="H156" s="7" t="n">
        <f aca="false">WR!AP43</f>
        <v>2</v>
      </c>
    </row>
    <row r="157" customFormat="false" ht="15" hidden="false" customHeight="false" outlineLevel="0" collapsed="false">
      <c r="A157" s="5" t="n">
        <v>53</v>
      </c>
      <c r="B157" s="5" t="str">
        <f aca="false">WR!B58</f>
        <v>Dontayvion Wicks</v>
      </c>
      <c r="C157" s="6" t="n">
        <f aca="false">WR!C58</f>
        <v>8.7</v>
      </c>
      <c r="D157" s="7" t="n">
        <f aca="false">WR!D58</f>
        <v>4</v>
      </c>
      <c r="E157" s="6" t="n">
        <f aca="false">WR!V58</f>
        <v>8.6</v>
      </c>
      <c r="F157" s="7" t="n">
        <f aca="false">WR!W58</f>
        <v>4</v>
      </c>
      <c r="G157" s="6"/>
      <c r="H157" s="8"/>
    </row>
    <row r="158" customFormat="false" ht="15" hidden="false" customHeight="false" outlineLevel="0" collapsed="false">
      <c r="A158" s="5" t="n">
        <v>54</v>
      </c>
      <c r="B158" s="5" t="str">
        <f aca="false">WR!B59</f>
        <v>Xavier Worthy</v>
      </c>
      <c r="C158" s="6" t="n">
        <f aca="false">WR!C59</f>
        <v>8.3</v>
      </c>
      <c r="D158" s="7" t="n">
        <f aca="false">WR!D59</f>
        <v>4</v>
      </c>
      <c r="E158" s="6" t="n">
        <f aca="false">WR!V59</f>
        <v>8</v>
      </c>
      <c r="F158" s="7" t="n">
        <f aca="false">WR!W59</f>
        <v>4</v>
      </c>
      <c r="G158" s="6"/>
      <c r="H158" s="8"/>
    </row>
    <row r="159" customFormat="false" ht="15" hidden="false" customHeight="false" outlineLevel="0" collapsed="false">
      <c r="A159" s="5" t="n">
        <v>55</v>
      </c>
      <c r="B159" s="5" t="str">
        <f aca="false">WR!B60</f>
        <v>Courtland Sutton</v>
      </c>
      <c r="C159" s="6" t="n">
        <f aca="false">WR!C60</f>
        <v>8.2</v>
      </c>
      <c r="D159" s="7" t="n">
        <f aca="false">WR!D60</f>
        <v>4</v>
      </c>
      <c r="E159" s="6" t="n">
        <f aca="false">WR!V60</f>
        <v>8.1</v>
      </c>
      <c r="F159" s="7" t="n">
        <f aca="false">WR!W60</f>
        <v>4</v>
      </c>
      <c r="G159" s="6"/>
      <c r="H159" s="8"/>
    </row>
    <row r="160" customFormat="false" ht="15" hidden="false" customHeight="false" outlineLevel="0" collapsed="false">
      <c r="A160" s="5" t="n">
        <v>56</v>
      </c>
      <c r="B160" s="5" t="str">
        <f aca="false">WR!B61</f>
        <v>Chris Godwin Jr.</v>
      </c>
      <c r="C160" s="6" t="n">
        <f aca="false">WR!C61</f>
        <v>8</v>
      </c>
      <c r="D160" s="7" t="n">
        <f aca="false">WR!D61</f>
        <v>4</v>
      </c>
      <c r="E160" s="6" t="n">
        <f aca="false">WR!V61</f>
        <v>7.7</v>
      </c>
      <c r="F160" s="7" t="n">
        <f aca="false">WR!W61</f>
        <v>4</v>
      </c>
      <c r="G160" s="6"/>
      <c r="H160" s="8"/>
    </row>
    <row r="161" customFormat="false" ht="15" hidden="false" customHeight="false" outlineLevel="0" collapsed="false">
      <c r="A161" s="5" t="n">
        <v>57</v>
      </c>
      <c r="B161" s="5" t="str">
        <f aca="false">WR!B62</f>
        <v>Makai Lemon</v>
      </c>
      <c r="C161" s="6" t="n">
        <f aca="false">WR!C62</f>
        <v>7.8</v>
      </c>
      <c r="D161" s="7" t="n">
        <f aca="false">WR!D62</f>
        <v>4</v>
      </c>
      <c r="E161" s="6" t="n">
        <f aca="false">WR!V62</f>
        <v>7.8</v>
      </c>
      <c r="F161" s="7" t="n">
        <f aca="false">WR!W62</f>
        <v>4</v>
      </c>
      <c r="G161" s="6"/>
      <c r="H161" s="8"/>
    </row>
    <row r="162" customFormat="false" ht="15" hidden="false" customHeight="false" outlineLevel="0" collapsed="false">
      <c r="A162" s="5" t="n">
        <v>58</v>
      </c>
      <c r="B162" s="5" t="str">
        <f aca="false">WR!B63</f>
        <v>Keenan Allen</v>
      </c>
      <c r="C162" s="6" t="n">
        <f aca="false">WR!C63</f>
        <v>7.8</v>
      </c>
      <c r="D162" s="7" t="n">
        <f aca="false">WR!D63</f>
        <v>5</v>
      </c>
      <c r="E162" s="6" t="n">
        <f aca="false">WR!V63</f>
        <v>7.1</v>
      </c>
      <c r="F162" s="7" t="n">
        <f aca="false">WR!W63</f>
        <v>5</v>
      </c>
      <c r="G162" s="6"/>
      <c r="H162" s="8"/>
    </row>
    <row r="163" customFormat="false" ht="15" hidden="false" customHeight="false" outlineLevel="0" collapsed="false">
      <c r="A163" s="5" t="n">
        <v>59</v>
      </c>
      <c r="B163" s="5" t="str">
        <f aca="false">WR!B64</f>
        <v>Keon Coleman</v>
      </c>
      <c r="C163" s="6" t="n">
        <f aca="false">WR!C64</f>
        <v>7.5</v>
      </c>
      <c r="D163" s="7" t="n">
        <f aca="false">WR!D64</f>
        <v>3</v>
      </c>
      <c r="E163" s="6" t="n">
        <f aca="false">WR!V64</f>
        <v>7.4</v>
      </c>
      <c r="F163" s="7" t="n">
        <f aca="false">WR!W64</f>
        <v>3</v>
      </c>
      <c r="G163" s="6"/>
      <c r="H163" s="8"/>
    </row>
    <row r="164" customFormat="false" ht="15" hidden="false" customHeight="false" outlineLevel="0" collapsed="false">
      <c r="A164" s="5" t="n">
        <v>60</v>
      </c>
      <c r="B164" s="5" t="str">
        <f aca="false">WR!B65</f>
        <v>Brian Thomas Jr.</v>
      </c>
      <c r="C164" s="6" t="n">
        <f aca="false">WR!C65</f>
        <v>7.4</v>
      </c>
      <c r="D164" s="7" t="n">
        <f aca="false">WR!D65</f>
        <v>4</v>
      </c>
      <c r="E164" s="6" t="n">
        <f aca="false">WR!V65</f>
        <v>7.4</v>
      </c>
      <c r="F164" s="7" t="n">
        <f aca="false">WR!W65</f>
        <v>4</v>
      </c>
      <c r="G164" s="6"/>
      <c r="H164" s="8"/>
    </row>
    <row r="165" customFormat="false" ht="15" hidden="false" customHeight="false" outlineLevel="0" collapsed="false">
      <c r="A165" s="5" t="n">
        <v>61</v>
      </c>
      <c r="B165" s="5" t="str">
        <f aca="false">WR!B66</f>
        <v>Tyreek Hill</v>
      </c>
      <c r="C165" s="6" t="n">
        <f aca="false">WR!C66</f>
        <v>6.9</v>
      </c>
      <c r="D165" s="7" t="n">
        <f aca="false">WR!D66</f>
        <v>4</v>
      </c>
      <c r="E165" s="6" t="n">
        <f aca="false">WR!V66</f>
        <v>6.9</v>
      </c>
      <c r="F165" s="7" t="n">
        <f aca="false">WR!W66</f>
        <v>4</v>
      </c>
      <c r="G165" s="6" t="n">
        <f aca="false">WR!AO44</f>
        <v>0</v>
      </c>
      <c r="H165" s="7" t="n">
        <f aca="false">WR!AP44</f>
        <v>2</v>
      </c>
    </row>
    <row r="166" customFormat="false" ht="15" hidden="false" customHeight="false" outlineLevel="0" collapsed="false">
      <c r="A166" s="5" t="n">
        <v>62</v>
      </c>
      <c r="B166" s="5" t="str">
        <f aca="false">WR!B67</f>
        <v>Tre Tucker</v>
      </c>
      <c r="C166" s="6" t="n">
        <f aca="false">WR!C67</f>
        <v>6.7</v>
      </c>
      <c r="D166" s="7" t="n">
        <f aca="false">WR!D67</f>
        <v>4</v>
      </c>
      <c r="E166" s="6" t="n">
        <f aca="false">WR!V67</f>
        <v>6.6</v>
      </c>
      <c r="F166" s="7" t="n">
        <f aca="false">WR!W67</f>
        <v>4</v>
      </c>
      <c r="G166" s="6"/>
      <c r="H166" s="8"/>
    </row>
    <row r="167" customFormat="false" ht="15" hidden="false" customHeight="false" outlineLevel="0" collapsed="false">
      <c r="A167" s="5" t="n">
        <v>63</v>
      </c>
      <c r="B167" s="5" t="str">
        <f aca="false">WR!B68</f>
        <v>Alec Pierce</v>
      </c>
      <c r="C167" s="6" t="n">
        <f aca="false">WR!C68</f>
        <v>6.3</v>
      </c>
      <c r="D167" s="7" t="n">
        <f aca="false">WR!D68</f>
        <v>4</v>
      </c>
      <c r="E167" s="6" t="n">
        <f aca="false">WR!V68</f>
        <v>6.3</v>
      </c>
      <c r="F167" s="7" t="n">
        <f aca="false">WR!W68</f>
        <v>4</v>
      </c>
      <c r="G167" s="6"/>
      <c r="H167" s="8"/>
    </row>
    <row r="168" customFormat="false" ht="15" hidden="false" customHeight="false" outlineLevel="0" collapsed="false">
      <c r="A168" s="5" t="n">
        <v>64</v>
      </c>
      <c r="B168" s="5" t="str">
        <f aca="false">WR!B69</f>
        <v>Antonio Williams</v>
      </c>
      <c r="C168" s="6" t="n">
        <f aca="false">WR!C69</f>
        <v>5.7</v>
      </c>
      <c r="D168" s="7" t="n">
        <f aca="false">WR!D69</f>
        <v>4</v>
      </c>
      <c r="E168" s="6" t="n">
        <f aca="false">WR!V69</f>
        <v>5.6</v>
      </c>
      <c r="F168" s="7" t="n">
        <f aca="false">WR!W69</f>
        <v>4</v>
      </c>
      <c r="G168" s="6"/>
      <c r="H168" s="8"/>
    </row>
    <row r="169" customFormat="false" ht="15" hidden="false" customHeight="false" outlineLevel="0" collapsed="false">
      <c r="A169" s="5" t="n">
        <v>65</v>
      </c>
      <c r="B169" s="5" t="str">
        <f aca="false">WR!B70</f>
        <v>Quentin Johnston</v>
      </c>
      <c r="C169" s="6" t="n">
        <f aca="false">WR!C70</f>
        <v>5.4</v>
      </c>
      <c r="D169" s="7" t="n">
        <f aca="false">WR!D70</f>
        <v>3</v>
      </c>
      <c r="E169" s="6" t="n">
        <f aca="false">WR!V70</f>
        <v>5.3</v>
      </c>
      <c r="F169" s="7" t="n">
        <f aca="false">WR!W70</f>
        <v>3</v>
      </c>
      <c r="G169" s="6"/>
      <c r="H169" s="8"/>
    </row>
    <row r="170" customFormat="false" ht="15" hidden="false" customHeight="false" outlineLevel="0" collapsed="false">
      <c r="A170" s="5" t="n">
        <v>66</v>
      </c>
      <c r="B170" s="5" t="str">
        <f aca="false">WR!B71</f>
        <v>Tre' Harris</v>
      </c>
      <c r="C170" s="6" t="n">
        <f aca="false">WR!C71</f>
        <v>4.6</v>
      </c>
      <c r="D170" s="7" t="n">
        <f aca="false">WR!D71</f>
        <v>4</v>
      </c>
      <c r="E170" s="6" t="n">
        <f aca="false">WR!V71</f>
        <v>4.6</v>
      </c>
      <c r="F170" s="7" t="n">
        <f aca="false">WR!W71</f>
        <v>4</v>
      </c>
      <c r="G170" s="6"/>
      <c r="H170" s="8"/>
    </row>
    <row r="171" customFormat="false" ht="15" hidden="false" customHeight="false" outlineLevel="0" collapsed="false">
      <c r="A171" s="5" t="n">
        <v>67</v>
      </c>
      <c r="B171" s="5" t="str">
        <f aca="false">WR!B72</f>
        <v>Rashid Shaheed</v>
      </c>
      <c r="C171" s="6" t="n">
        <f aca="false">WR!C72</f>
        <v>4.4</v>
      </c>
      <c r="D171" s="7" t="n">
        <f aca="false">WR!D72</f>
        <v>3</v>
      </c>
      <c r="E171" s="6" t="n">
        <f aca="false">WR!V72</f>
        <v>4.4</v>
      </c>
      <c r="F171" s="7" t="n">
        <f aca="false">WR!W72</f>
        <v>3</v>
      </c>
      <c r="G171" s="6"/>
      <c r="H171" s="8"/>
    </row>
    <row r="172" customFormat="false" ht="15" hidden="false" customHeight="false" outlineLevel="0" collapsed="false">
      <c r="A172" s="5" t="n">
        <v>68</v>
      </c>
      <c r="B172" s="5" t="str">
        <f aca="false">WR!B73</f>
        <v>Rashod Bateman</v>
      </c>
      <c r="C172" s="6" t="n">
        <f aca="false">WR!C73</f>
        <v>4.3</v>
      </c>
      <c r="D172" s="7" t="n">
        <f aca="false">WR!D73</f>
        <v>4</v>
      </c>
      <c r="E172" s="6" t="n">
        <f aca="false">WR!V73</f>
        <v>4.2</v>
      </c>
      <c r="F172" s="7" t="n">
        <f aca="false">WR!W73</f>
        <v>4</v>
      </c>
      <c r="G172" s="6"/>
      <c r="H172" s="8"/>
    </row>
    <row r="173" customFormat="false" ht="15" hidden="false" customHeight="false" outlineLevel="0" collapsed="false">
      <c r="A173" s="5" t="n">
        <v>69</v>
      </c>
      <c r="B173" s="5" t="str">
        <f aca="false">WR!B74</f>
        <v>Malachi Fields</v>
      </c>
      <c r="C173" s="6" t="n">
        <f aca="false">WR!C74</f>
        <v>4.3</v>
      </c>
      <c r="D173" s="7" t="n">
        <f aca="false">WR!D74</f>
        <v>3</v>
      </c>
      <c r="E173" s="6" t="n">
        <f aca="false">WR!V74</f>
        <v>4.2</v>
      </c>
      <c r="F173" s="7" t="n">
        <f aca="false">WR!W74</f>
        <v>3</v>
      </c>
      <c r="G173" s="6"/>
      <c r="H173" s="8"/>
    </row>
    <row r="174" customFormat="false" ht="15" hidden="false" customHeight="false" outlineLevel="0" collapsed="false">
      <c r="A174" s="5" t="n">
        <v>70</v>
      </c>
      <c r="B174" s="5" t="str">
        <f aca="false">WR!B75</f>
        <v>Caleb Douglas</v>
      </c>
      <c r="C174" s="6" t="n">
        <f aca="false">WR!C75</f>
        <v>4.1</v>
      </c>
      <c r="D174" s="7" t="n">
        <f aca="false">WR!D75</f>
        <v>4</v>
      </c>
      <c r="E174" s="6" t="n">
        <f aca="false">WR!V75</f>
        <v>3.9</v>
      </c>
      <c r="F174" s="7" t="n">
        <f aca="false">WR!W75</f>
        <v>4</v>
      </c>
      <c r="G174" s="6"/>
      <c r="H174" s="8"/>
    </row>
    <row r="175" customFormat="false" ht="15" hidden="false" customHeight="false" outlineLevel="0" collapsed="false">
      <c r="A175" s="5" t="n">
        <v>71</v>
      </c>
      <c r="B175" s="5" t="str">
        <f aca="false">WR!B76</f>
        <v>Chris Bell</v>
      </c>
      <c r="C175" s="6" t="n">
        <f aca="false">WR!C76</f>
        <v>3.7</v>
      </c>
      <c r="D175" s="7" t="n">
        <f aca="false">WR!D76</f>
        <v>4</v>
      </c>
      <c r="E175" s="6" t="n">
        <f aca="false">WR!V76</f>
        <v>3.7</v>
      </c>
      <c r="F175" s="7" t="n">
        <f aca="false">WR!W76</f>
        <v>4</v>
      </c>
      <c r="G175" s="6"/>
      <c r="H175" s="8"/>
    </row>
    <row r="176" customFormat="false" ht="15" hidden="false" customHeight="false" outlineLevel="0" collapsed="false">
      <c r="A176" s="5" t="n">
        <v>72</v>
      </c>
      <c r="B176" s="5" t="str">
        <f aca="false">WR!B77</f>
        <v>Roman Wilson</v>
      </c>
      <c r="C176" s="6" t="n">
        <f aca="false">WR!C77</f>
        <v>3.3</v>
      </c>
      <c r="D176" s="7" t="n">
        <f aca="false">WR!D77</f>
        <v>4</v>
      </c>
      <c r="E176" s="6" t="n">
        <f aca="false">WR!V77</f>
        <v>3.3</v>
      </c>
      <c r="F176" s="7" t="n">
        <f aca="false">WR!W77</f>
        <v>4</v>
      </c>
      <c r="G176" s="6"/>
      <c r="H176" s="8"/>
    </row>
    <row r="177" customFormat="false" ht="15" hidden="false" customHeight="false" outlineLevel="0" collapsed="false">
      <c r="A177" s="5" t="n">
        <v>73</v>
      </c>
      <c r="B177" s="5" t="str">
        <f aca="false">WR!B78</f>
        <v>Pat Bryant</v>
      </c>
      <c r="C177" s="6" t="n">
        <f aca="false">WR!C78</f>
        <v>3.1</v>
      </c>
      <c r="D177" s="7" t="n">
        <f aca="false">WR!D78</f>
        <v>3</v>
      </c>
      <c r="E177" s="6" t="n">
        <f aca="false">WR!V78</f>
        <v>3</v>
      </c>
      <c r="F177" s="7" t="n">
        <f aca="false">WR!W78</f>
        <v>3</v>
      </c>
      <c r="G177" s="6"/>
      <c r="H177" s="8"/>
    </row>
    <row r="178" customFormat="false" ht="15" hidden="false" customHeight="false" outlineLevel="0" collapsed="false">
      <c r="A178" s="5" t="n">
        <v>74</v>
      </c>
      <c r="B178" s="5" t="str">
        <f aca="false">WR!B79</f>
        <v>Kalif Raymond</v>
      </c>
      <c r="C178" s="6" t="n">
        <f aca="false">WR!C79</f>
        <v>3.1</v>
      </c>
      <c r="D178" s="7" t="n">
        <f aca="false">WR!D79</f>
        <v>4</v>
      </c>
      <c r="E178" s="6" t="n">
        <f aca="false">WR!V79</f>
        <v>3</v>
      </c>
      <c r="F178" s="7" t="n">
        <f aca="false">WR!W79</f>
        <v>4</v>
      </c>
      <c r="G178" s="6"/>
      <c r="H178" s="8"/>
    </row>
    <row r="179" customFormat="false" ht="15" hidden="false" customHeight="false" outlineLevel="0" collapsed="false">
      <c r="A179" s="5" t="n">
        <v>75</v>
      </c>
      <c r="B179" s="5" t="str">
        <f aca="false">WR!B81</f>
        <v>Cyrus Allen</v>
      </c>
      <c r="C179" s="6" t="n">
        <f aca="false">WR!C81</f>
        <v>3</v>
      </c>
      <c r="D179" s="7" t="n">
        <f aca="false">WR!D81</f>
        <v>3</v>
      </c>
      <c r="E179" s="6"/>
      <c r="F179" s="8"/>
      <c r="G179" s="6"/>
      <c r="H179" s="8"/>
    </row>
    <row r="180" customFormat="false" ht="15" hidden="false" customHeight="false" outlineLevel="0" collapsed="false">
      <c r="A180" s="5" t="n">
        <v>76</v>
      </c>
      <c r="B180" s="5" t="str">
        <f aca="false">WR!B80</f>
        <v>Michael Pittman Jr.</v>
      </c>
      <c r="C180" s="6" t="n">
        <f aca="false">WR!C80</f>
        <v>2.9</v>
      </c>
      <c r="D180" s="7" t="n">
        <f aca="false">WR!D80</f>
        <v>3</v>
      </c>
      <c r="E180" s="6" t="n">
        <f aca="false">WR!V80</f>
        <v>2.9</v>
      </c>
      <c r="F180" s="7" t="n">
        <f aca="false">WR!W80</f>
        <v>3</v>
      </c>
      <c r="G180" s="6"/>
      <c r="H180" s="8"/>
    </row>
    <row r="181" customFormat="false" ht="15" hidden="false" customHeight="false" outlineLevel="0" collapsed="false">
      <c r="A181" s="5" t="n">
        <v>77</v>
      </c>
      <c r="B181" s="5" t="str">
        <f aca="false">WR!B82</f>
        <v>Ryan Flournoy</v>
      </c>
      <c r="C181" s="6" t="n">
        <f aca="false">WR!C82</f>
        <v>2.4</v>
      </c>
      <c r="D181" s="7" t="n">
        <f aca="false">WR!D82</f>
        <v>4</v>
      </c>
      <c r="E181" s="6" t="n">
        <f aca="false">WR!V81</f>
        <v>2.3</v>
      </c>
      <c r="F181" s="7" t="n">
        <f aca="false">WR!W81</f>
        <v>4</v>
      </c>
      <c r="G181" s="6"/>
      <c r="H181" s="8"/>
    </row>
    <row r="182" customFormat="false" ht="15" hidden="false" customHeight="false" outlineLevel="0" collapsed="false">
      <c r="A182" s="5" t="n">
        <v>78</v>
      </c>
      <c r="B182" s="5" t="str">
        <f aca="false">WR!B83</f>
        <v>Jauan Jennings</v>
      </c>
      <c r="C182" s="6" t="n">
        <f aca="false">WR!C83</f>
        <v>2.1</v>
      </c>
      <c r="D182" s="7" t="n">
        <f aca="false">WR!D83</f>
        <v>3</v>
      </c>
      <c r="E182" s="6"/>
      <c r="F182" s="8"/>
      <c r="G182" s="6"/>
      <c r="H182" s="8"/>
    </row>
    <row r="183" customFormat="false" ht="15" hidden="false" customHeight="false" outlineLevel="0" collapsed="false">
      <c r="A183" s="5" t="n">
        <v>79</v>
      </c>
      <c r="B183" s="5" t="str">
        <f aca="false">WR!B84</f>
        <v>De'Zhaun Stribling</v>
      </c>
      <c r="C183" s="6" t="n">
        <f aca="false">WR!C84</f>
        <v>1.7</v>
      </c>
      <c r="D183" s="7" t="n">
        <f aca="false">WR!D84</f>
        <v>4</v>
      </c>
      <c r="E183" s="6" t="n">
        <f aca="false">WR!V82</f>
        <v>1.7</v>
      </c>
      <c r="F183" s="7" t="n">
        <f aca="false">WR!W82</f>
        <v>4</v>
      </c>
      <c r="G183" s="6"/>
      <c r="H183" s="8"/>
    </row>
    <row r="184" customFormat="false" ht="15" hidden="false" customHeight="false" outlineLevel="0" collapsed="false">
      <c r="A184" s="5" t="n">
        <v>80</v>
      </c>
      <c r="B184" s="5" t="str">
        <f aca="false">WR!B85</f>
        <v>Ja'Kobi Lane</v>
      </c>
      <c r="C184" s="6" t="n">
        <f aca="false">WR!C85</f>
        <v>1.4</v>
      </c>
      <c r="D184" s="7" t="n">
        <f aca="false">WR!D85</f>
        <v>4</v>
      </c>
      <c r="E184" s="6" t="n">
        <f aca="false">WR!V83</f>
        <v>1.4</v>
      </c>
      <c r="F184" s="7" t="n">
        <f aca="false">WR!W83</f>
        <v>4</v>
      </c>
      <c r="G184" s="6"/>
      <c r="H184" s="8"/>
    </row>
    <row r="185" customFormat="false" ht="15" hidden="false" customHeight="false" outlineLevel="0" collapsed="false">
      <c r="A185" s="5" t="n">
        <v>81</v>
      </c>
      <c r="B185" s="5" t="str">
        <f aca="false">WR!B86</f>
        <v>Dohnte Meyers</v>
      </c>
      <c r="C185" s="6" t="n">
        <f aca="false">WR!C86</f>
        <v>1.3</v>
      </c>
      <c r="D185" s="7" t="n">
        <f aca="false">WR!D86</f>
        <v>3</v>
      </c>
      <c r="E185" s="6"/>
      <c r="F185" s="8"/>
      <c r="G185" s="6"/>
      <c r="H185" s="8"/>
    </row>
    <row r="186" customFormat="false" ht="15" hidden="false" customHeight="false" outlineLevel="0" collapsed="false">
      <c r="A186" s="5" t="n">
        <v>82</v>
      </c>
      <c r="B186" s="5" t="str">
        <f aca="false">WR!B87</f>
        <v>Jaylin Noel</v>
      </c>
      <c r="C186" s="6" t="n">
        <f aca="false">WR!C87</f>
        <v>1</v>
      </c>
      <c r="D186" s="7" t="n">
        <f aca="false">WR!D87</f>
        <v>3</v>
      </c>
      <c r="E186" s="6" t="n">
        <f aca="false">WR!V84</f>
        <v>1</v>
      </c>
      <c r="F186" s="7" t="n">
        <f aca="false">WR!W84</f>
        <v>3</v>
      </c>
      <c r="G186" s="6"/>
      <c r="H186" s="8"/>
    </row>
    <row r="187" customFormat="false" ht="15" hidden="false" customHeight="false" outlineLevel="0" collapsed="false">
      <c r="A187" s="5" t="n">
        <v>83</v>
      </c>
      <c r="B187" s="5" t="str">
        <f aca="false">WR!B88</f>
        <v>Kayshon Boutte</v>
      </c>
      <c r="C187" s="6" t="n">
        <f aca="false">WR!C88</f>
        <v>0.9</v>
      </c>
      <c r="D187" s="7" t="n">
        <f aca="false">WR!D88</f>
        <v>3</v>
      </c>
      <c r="E187" s="6" t="n">
        <f aca="false">WR!V85</f>
        <v>0</v>
      </c>
      <c r="F187" s="7" t="n">
        <f aca="false">WR!W85</f>
        <v>3</v>
      </c>
      <c r="G187" s="6"/>
      <c r="H187" s="8"/>
    </row>
    <row r="188" customFormat="false" ht="15" hidden="false" customHeight="false" outlineLevel="0" collapsed="false">
      <c r="A188" s="5" t="n">
        <v>84</v>
      </c>
      <c r="B188" s="5" t="str">
        <f aca="false">WR!B89</f>
        <v>Ted Hurst III</v>
      </c>
      <c r="C188" s="6" t="n">
        <f aca="false">WR!C89</f>
        <v>0.8</v>
      </c>
      <c r="D188" s="7" t="n">
        <f aca="false">WR!D89</f>
        <v>3</v>
      </c>
      <c r="E188" s="6"/>
      <c r="F188" s="8"/>
      <c r="G188" s="6"/>
      <c r="H188" s="8"/>
    </row>
    <row r="191" customFormat="false" ht="16.15" hidden="false" customHeight="false" outlineLevel="0" collapsed="false">
      <c r="A191" s="3" t="s">
        <v>12</v>
      </c>
    </row>
    <row r="192" customFormat="false" ht="15" hidden="false" customHeight="false" outlineLevel="0" collapsed="false">
      <c r="A192" s="4" t="s">
        <v>2</v>
      </c>
      <c r="B192" s="4" t="s">
        <v>3</v>
      </c>
      <c r="C192" s="4" t="s">
        <v>8</v>
      </c>
      <c r="D192" s="4" t="s">
        <v>5</v>
      </c>
      <c r="E192" s="4" t="s">
        <v>9</v>
      </c>
      <c r="F192" s="4" t="s">
        <v>5</v>
      </c>
      <c r="G192" s="4" t="s">
        <v>10</v>
      </c>
      <c r="H192" s="4" t="s">
        <v>5</v>
      </c>
    </row>
    <row r="193" customFormat="false" ht="15" hidden="false" customHeight="false" outlineLevel="0" collapsed="false">
      <c r="A193" s="5" t="n">
        <v>1</v>
      </c>
      <c r="B193" s="5" t="str">
        <f aca="false">TE!B6</f>
        <v>Brock Bowers</v>
      </c>
      <c r="C193" s="6" t="n">
        <f aca="false">TE!C6</f>
        <v>54.1</v>
      </c>
      <c r="D193" s="7" t="n">
        <f aca="false">TE!D6</f>
        <v>5</v>
      </c>
      <c r="E193" s="6" t="n">
        <f aca="false">TE!V6</f>
        <v>52.7</v>
      </c>
      <c r="F193" s="7" t="n">
        <f aca="false">TE!W6</f>
        <v>5</v>
      </c>
      <c r="G193" s="6" t="n">
        <f aca="false">TE!AO6</f>
        <v>37.5</v>
      </c>
      <c r="H193" s="7" t="n">
        <f aca="false">TE!AP6</f>
        <v>2</v>
      </c>
    </row>
    <row r="194" customFormat="false" ht="15" hidden="false" customHeight="false" outlineLevel="0" collapsed="false">
      <c r="A194" s="5" t="n">
        <v>2</v>
      </c>
      <c r="B194" s="5" t="str">
        <f aca="false">TE!B7</f>
        <v>Trey McBride</v>
      </c>
      <c r="C194" s="6" t="n">
        <f aca="false">TE!C7</f>
        <v>44.7</v>
      </c>
      <c r="D194" s="7" t="n">
        <f aca="false">TE!D7</f>
        <v>5</v>
      </c>
      <c r="E194" s="6" t="n">
        <f aca="false">TE!V7</f>
        <v>42.8</v>
      </c>
      <c r="F194" s="7" t="n">
        <f aca="false">TE!W7</f>
        <v>5</v>
      </c>
      <c r="G194" s="6" t="n">
        <f aca="false">TE!AO7</f>
        <v>24.8</v>
      </c>
      <c r="H194" s="7" t="n">
        <f aca="false">TE!AP7</f>
        <v>2</v>
      </c>
    </row>
    <row r="195" customFormat="false" ht="15" hidden="false" customHeight="false" outlineLevel="0" collapsed="false">
      <c r="A195" s="5" t="n">
        <v>3</v>
      </c>
      <c r="B195" s="5" t="str">
        <f aca="false">TE!B8</f>
        <v>George Kittle</v>
      </c>
      <c r="C195" s="6" t="n">
        <f aca="false">TE!C8</f>
        <v>32.4</v>
      </c>
      <c r="D195" s="7" t="n">
        <f aca="false">TE!D8</f>
        <v>5</v>
      </c>
      <c r="E195" s="6" t="n">
        <f aca="false">TE!V8</f>
        <v>31</v>
      </c>
      <c r="F195" s="7" t="n">
        <f aca="false">TE!W8</f>
        <v>5</v>
      </c>
      <c r="G195" s="6" t="n">
        <f aca="false">TE!AO8</f>
        <v>15.9</v>
      </c>
      <c r="H195" s="7" t="n">
        <f aca="false">TE!AP8</f>
        <v>2</v>
      </c>
    </row>
    <row r="196" customFormat="false" ht="15" hidden="false" customHeight="false" outlineLevel="0" collapsed="false">
      <c r="A196" s="5" t="n">
        <v>4</v>
      </c>
      <c r="B196" s="5" t="str">
        <f aca="false">TE!B9</f>
        <v>Sam LaPorta</v>
      </c>
      <c r="C196" s="6" t="n">
        <f aca="false">TE!C9</f>
        <v>28.2</v>
      </c>
      <c r="D196" s="7" t="n">
        <f aca="false">TE!D9</f>
        <v>5</v>
      </c>
      <c r="E196" s="6" t="n">
        <f aca="false">TE!V9</f>
        <v>26.5</v>
      </c>
      <c r="F196" s="7" t="n">
        <f aca="false">TE!W9</f>
        <v>5</v>
      </c>
      <c r="G196" s="6" t="n">
        <f aca="false">TE!AO9</f>
        <v>15.8</v>
      </c>
      <c r="H196" s="7" t="n">
        <f aca="false">TE!AP9</f>
        <v>2</v>
      </c>
    </row>
    <row r="197" customFormat="false" ht="15" hidden="false" customHeight="false" outlineLevel="0" collapsed="false">
      <c r="A197" s="5" t="n">
        <v>5</v>
      </c>
      <c r="B197" s="5" t="str">
        <f aca="false">TE!B10</f>
        <v>Tyler Warren</v>
      </c>
      <c r="C197" s="6" t="n">
        <f aca="false">TE!C10</f>
        <v>23.7</v>
      </c>
      <c r="D197" s="7" t="n">
        <f aca="false">TE!D10</f>
        <v>5</v>
      </c>
      <c r="E197" s="6" t="n">
        <f aca="false">TE!V10</f>
        <v>22</v>
      </c>
      <c r="F197" s="7" t="n">
        <f aca="false">TE!W10</f>
        <v>5</v>
      </c>
      <c r="G197" s="6" t="n">
        <f aca="false">TE!AO10</f>
        <v>9.9</v>
      </c>
      <c r="H197" s="7" t="n">
        <f aca="false">TE!AP10</f>
        <v>2</v>
      </c>
    </row>
    <row r="198" customFormat="false" ht="15" hidden="false" customHeight="false" outlineLevel="0" collapsed="false">
      <c r="A198" s="5" t="n">
        <v>6</v>
      </c>
      <c r="B198" s="5" t="str">
        <f aca="false">TE!B11</f>
        <v>Isaiah Likely</v>
      </c>
      <c r="C198" s="6" t="n">
        <f aca="false">TE!C11</f>
        <v>21.6</v>
      </c>
      <c r="D198" s="7" t="n">
        <f aca="false">TE!D11</f>
        <v>5</v>
      </c>
      <c r="E198" s="6" t="n">
        <f aca="false">TE!V11</f>
        <v>19.7</v>
      </c>
      <c r="F198" s="7" t="n">
        <f aca="false">TE!W11</f>
        <v>5</v>
      </c>
      <c r="G198" s="6" t="n">
        <f aca="false">TE!AO11</f>
        <v>8.2</v>
      </c>
      <c r="H198" s="7" t="n">
        <f aca="false">TE!AP11</f>
        <v>2</v>
      </c>
    </row>
    <row r="199" customFormat="false" ht="15" hidden="false" customHeight="false" outlineLevel="0" collapsed="false">
      <c r="A199" s="5" t="n">
        <v>7</v>
      </c>
      <c r="B199" s="5" t="str">
        <f aca="false">TE!B12</f>
        <v>Dalton Kincaid</v>
      </c>
      <c r="C199" s="6" t="n">
        <f aca="false">TE!C12</f>
        <v>19.7</v>
      </c>
      <c r="D199" s="7" t="n">
        <f aca="false">TE!D12</f>
        <v>4</v>
      </c>
      <c r="E199" s="6" t="n">
        <f aca="false">TE!V12</f>
        <v>19</v>
      </c>
      <c r="F199" s="7" t="n">
        <f aca="false">TE!W12</f>
        <v>4</v>
      </c>
      <c r="G199" s="6"/>
      <c r="H199" s="8"/>
    </row>
    <row r="200" customFormat="false" ht="15" hidden="false" customHeight="false" outlineLevel="0" collapsed="false">
      <c r="A200" s="5" t="n">
        <v>8</v>
      </c>
      <c r="B200" s="5" t="str">
        <f aca="false">TE!B13</f>
        <v>Tucker Kraft</v>
      </c>
      <c r="C200" s="6" t="n">
        <f aca="false">TE!C13</f>
        <v>18.3</v>
      </c>
      <c r="D200" s="7" t="n">
        <f aca="false">TE!D13</f>
        <v>5</v>
      </c>
      <c r="E200" s="6" t="n">
        <f aca="false">TE!V13</f>
        <v>17.6</v>
      </c>
      <c r="F200" s="7" t="n">
        <f aca="false">TE!W13</f>
        <v>5</v>
      </c>
      <c r="G200" s="6" t="n">
        <f aca="false">TE!AO13</f>
        <v>6.6</v>
      </c>
      <c r="H200" s="7" t="n">
        <f aca="false">TE!AP13</f>
        <v>2</v>
      </c>
    </row>
    <row r="201" customFormat="false" ht="15" hidden="false" customHeight="false" outlineLevel="0" collapsed="false">
      <c r="A201" s="5" t="n">
        <v>9</v>
      </c>
      <c r="B201" s="5" t="str">
        <f aca="false">TE!B14</f>
        <v>Travis Kelce</v>
      </c>
      <c r="C201" s="6" t="n">
        <f aca="false">TE!C14</f>
        <v>17.2</v>
      </c>
      <c r="D201" s="7" t="n">
        <f aca="false">TE!D14</f>
        <v>5</v>
      </c>
      <c r="E201" s="6" t="n">
        <f aca="false">TE!V14</f>
        <v>16.3</v>
      </c>
      <c r="F201" s="7" t="n">
        <f aca="false">TE!W14</f>
        <v>5</v>
      </c>
      <c r="G201" s="6" t="n">
        <f aca="false">TE!AO12</f>
        <v>7.6</v>
      </c>
      <c r="H201" s="7" t="n">
        <f aca="false">TE!AP12</f>
        <v>2</v>
      </c>
    </row>
    <row r="202" customFormat="false" ht="15" hidden="false" customHeight="false" outlineLevel="0" collapsed="false">
      <c r="A202" s="5" t="n">
        <v>10</v>
      </c>
      <c r="B202" s="5" t="str">
        <f aca="false">TE!B15</f>
        <v>Juwan Johnson</v>
      </c>
      <c r="C202" s="6" t="n">
        <f aca="false">TE!C15</f>
        <v>13.5</v>
      </c>
      <c r="D202" s="7" t="n">
        <f aca="false">TE!D15</f>
        <v>5</v>
      </c>
      <c r="E202" s="6" t="n">
        <f aca="false">TE!V15</f>
        <v>12.3</v>
      </c>
      <c r="F202" s="7" t="n">
        <f aca="false">TE!W15</f>
        <v>5</v>
      </c>
      <c r="G202" s="6" t="n">
        <f aca="false">TE!AO14</f>
        <v>3.2</v>
      </c>
      <c r="H202" s="7" t="n">
        <f aca="false">TE!AP14</f>
        <v>2</v>
      </c>
    </row>
    <row r="203" customFormat="false" ht="15" hidden="false" customHeight="false" outlineLevel="0" collapsed="false">
      <c r="A203" s="5" t="n">
        <v>11</v>
      </c>
      <c r="B203" s="5" t="str">
        <f aca="false">TE!B16</f>
        <v>Dallas Goedert</v>
      </c>
      <c r="C203" s="6" t="n">
        <f aca="false">TE!C16</f>
        <v>10.3</v>
      </c>
      <c r="D203" s="7" t="n">
        <f aca="false">TE!D16</f>
        <v>5</v>
      </c>
      <c r="E203" s="6" t="n">
        <f aca="false">TE!V16</f>
        <v>10</v>
      </c>
      <c r="F203" s="7" t="n">
        <f aca="false">TE!W16</f>
        <v>5</v>
      </c>
      <c r="G203" s="6" t="n">
        <f aca="false">TE!AO15</f>
        <v>2.6</v>
      </c>
      <c r="H203" s="7" t="n">
        <f aca="false">TE!AP15</f>
        <v>2</v>
      </c>
    </row>
    <row r="204" customFormat="false" ht="15" hidden="false" customHeight="false" outlineLevel="0" collapsed="false">
      <c r="A204" s="5" t="n">
        <v>12</v>
      </c>
      <c r="B204" s="5" t="str">
        <f aca="false">TE!B17</f>
        <v>Harold Fannin Jr.</v>
      </c>
      <c r="C204" s="6" t="n">
        <f aca="false">TE!C17</f>
        <v>9.9</v>
      </c>
      <c r="D204" s="7" t="n">
        <f aca="false">TE!D17</f>
        <v>5</v>
      </c>
      <c r="E204" s="6" t="n">
        <f aca="false">TE!V17</f>
        <v>9.8</v>
      </c>
      <c r="F204" s="7" t="n">
        <f aca="false">TE!W17</f>
        <v>5</v>
      </c>
      <c r="G204" s="6"/>
      <c r="H204" s="8"/>
    </row>
    <row r="205" customFormat="false" ht="15" hidden="false" customHeight="false" outlineLevel="0" collapsed="false">
      <c r="A205" s="5" t="n">
        <v>13</v>
      </c>
      <c r="B205" s="5" t="str">
        <f aca="false">TE!B18</f>
        <v>Colston Loveland</v>
      </c>
      <c r="C205" s="6" t="n">
        <f aca="false">TE!C18</f>
        <v>9.1</v>
      </c>
      <c r="D205" s="7" t="n">
        <f aca="false">TE!D18</f>
        <v>5</v>
      </c>
      <c r="E205" s="6" t="n">
        <f aca="false">TE!V18</f>
        <v>9.1</v>
      </c>
      <c r="F205" s="7" t="n">
        <f aca="false">TE!W18</f>
        <v>5</v>
      </c>
      <c r="G205" s="6"/>
      <c r="H205" s="8"/>
    </row>
    <row r="206" customFormat="false" ht="15" hidden="false" customHeight="false" outlineLevel="0" collapsed="false">
      <c r="A206" s="5" t="n">
        <v>14</v>
      </c>
      <c r="B206" s="5" t="str">
        <f aca="false">TE!B19</f>
        <v>Hunter Henry</v>
      </c>
      <c r="C206" s="6" t="n">
        <f aca="false">TE!C19</f>
        <v>7.1</v>
      </c>
      <c r="D206" s="7" t="n">
        <f aca="false">TE!D19</f>
        <v>3</v>
      </c>
      <c r="E206" s="6" t="n">
        <f aca="false">TE!V19</f>
        <v>4.2</v>
      </c>
      <c r="F206" s="7" t="n">
        <f aca="false">TE!W19</f>
        <v>3</v>
      </c>
      <c r="G206" s="6"/>
      <c r="H206" s="8"/>
    </row>
    <row r="207" customFormat="false" ht="15" hidden="false" customHeight="false" outlineLevel="0" collapsed="false">
      <c r="A207" s="5" t="n">
        <v>15</v>
      </c>
      <c r="B207" s="5" t="str">
        <f aca="false">TE!B20</f>
        <v>Jake Ferguson</v>
      </c>
      <c r="C207" s="6" t="n">
        <f aca="false">TE!C20</f>
        <v>6.7</v>
      </c>
      <c r="D207" s="7" t="n">
        <f aca="false">TE!D20</f>
        <v>3</v>
      </c>
      <c r="E207" s="6" t="n">
        <f aca="false">TE!V20</f>
        <v>5.7</v>
      </c>
      <c r="F207" s="7" t="n">
        <f aca="false">TE!W20</f>
        <v>3</v>
      </c>
      <c r="G207" s="6"/>
      <c r="H207" s="8"/>
    </row>
    <row r="208" customFormat="false" ht="15" hidden="false" customHeight="false" outlineLevel="0" collapsed="false">
      <c r="A208" s="5" t="n">
        <v>16</v>
      </c>
      <c r="B208" s="5" t="str">
        <f aca="false">TE!B21</f>
        <v>Brenton Strange</v>
      </c>
      <c r="C208" s="6" t="n">
        <f aca="false">TE!C21</f>
        <v>6.1</v>
      </c>
      <c r="D208" s="7" t="n">
        <f aca="false">TE!D21</f>
        <v>5</v>
      </c>
      <c r="E208" s="6" t="n">
        <f aca="false">TE!V21</f>
        <v>5.5</v>
      </c>
      <c r="F208" s="7" t="n">
        <f aca="false">TE!W21</f>
        <v>5</v>
      </c>
      <c r="G208" s="6"/>
      <c r="H208" s="8"/>
    </row>
    <row r="209" customFormat="false" ht="15" hidden="false" customHeight="false" outlineLevel="0" collapsed="false">
      <c r="A209" s="5" t="n">
        <v>17</v>
      </c>
      <c r="B209" s="5" t="str">
        <f aca="false">TE!B22</f>
        <v>Tyler Higbee</v>
      </c>
      <c r="C209" s="6" t="n">
        <f aca="false">TE!C22</f>
        <v>5.7</v>
      </c>
      <c r="D209" s="7" t="n">
        <f aca="false">TE!D22</f>
        <v>3</v>
      </c>
      <c r="E209" s="6" t="n">
        <f aca="false">TE!V22</f>
        <v>4</v>
      </c>
      <c r="F209" s="7" t="n">
        <f aca="false">TE!W22</f>
        <v>3</v>
      </c>
      <c r="G209" s="6"/>
      <c r="H209" s="8"/>
    </row>
    <row r="210" customFormat="false" ht="15" hidden="false" customHeight="false" outlineLevel="0" collapsed="false">
      <c r="A210" s="5" t="n">
        <v>18</v>
      </c>
      <c r="B210" s="5" t="str">
        <f aca="false">TE!B23</f>
        <v>Pat Freiermuth</v>
      </c>
      <c r="C210" s="6" t="n">
        <f aca="false">TE!C23</f>
        <v>5.6</v>
      </c>
      <c r="D210" s="7" t="n">
        <f aca="false">TE!D23</f>
        <v>4</v>
      </c>
      <c r="E210" s="6" t="n">
        <f aca="false">TE!V23</f>
        <v>5.4</v>
      </c>
      <c r="F210" s="7" t="n">
        <f aca="false">TE!W23</f>
        <v>4</v>
      </c>
      <c r="G210" s="6"/>
      <c r="H210" s="8"/>
    </row>
    <row r="211" customFormat="false" ht="15" hidden="false" customHeight="false" outlineLevel="0" collapsed="false">
      <c r="A211" s="5" t="n">
        <v>19</v>
      </c>
      <c r="B211" s="5" t="str">
        <f aca="false">TE!B24</f>
        <v>Kyle Pitts Sr.</v>
      </c>
      <c r="C211" s="6" t="n">
        <f aca="false">TE!C24</f>
        <v>5.5</v>
      </c>
      <c r="D211" s="7" t="n">
        <f aca="false">TE!D24</f>
        <v>4</v>
      </c>
      <c r="E211" s="6" t="n">
        <f aca="false">TE!V24</f>
        <v>5.4</v>
      </c>
      <c r="F211" s="7" t="n">
        <f aca="false">TE!W24</f>
        <v>4</v>
      </c>
      <c r="G211" s="6"/>
      <c r="H211" s="8"/>
    </row>
    <row r="212" customFormat="false" ht="15" hidden="false" customHeight="false" outlineLevel="0" collapsed="false">
      <c r="A212" s="5" t="n">
        <v>20</v>
      </c>
      <c r="B212" s="5" t="str">
        <f aca="false">TE!B25</f>
        <v>Kenyon Sadiq</v>
      </c>
      <c r="C212" s="6" t="n">
        <f aca="false">TE!C25</f>
        <v>4.7</v>
      </c>
      <c r="D212" s="7" t="n">
        <f aca="false">TE!D25</f>
        <v>3</v>
      </c>
      <c r="E212" s="6" t="n">
        <f aca="false">TE!V25</f>
        <v>4.5</v>
      </c>
      <c r="F212" s="7" t="n">
        <f aca="false">TE!W25</f>
        <v>3</v>
      </c>
      <c r="G212" s="6"/>
      <c r="H212" s="8"/>
    </row>
    <row r="213" customFormat="false" ht="15" hidden="false" customHeight="false" outlineLevel="0" collapsed="false">
      <c r="A213" s="5" t="n">
        <v>21</v>
      </c>
      <c r="B213" s="5" t="str">
        <f aca="false">TE!B26</f>
        <v>Mark Andrews</v>
      </c>
      <c r="C213" s="6" t="n">
        <f aca="false">TE!C26</f>
        <v>4.1</v>
      </c>
      <c r="D213" s="7" t="n">
        <f aca="false">TE!D26</f>
        <v>5</v>
      </c>
      <c r="E213" s="6" t="n">
        <f aca="false">TE!V26</f>
        <v>4.1</v>
      </c>
      <c r="F213" s="7" t="n">
        <f aca="false">TE!W26</f>
        <v>5</v>
      </c>
      <c r="G213" s="6"/>
      <c r="H213" s="8"/>
    </row>
    <row r="214" customFormat="false" ht="15" hidden="false" customHeight="false" outlineLevel="0" collapsed="false">
      <c r="A214" s="5" t="n">
        <v>22</v>
      </c>
      <c r="B214" s="5" t="str">
        <f aca="false">TE!B27</f>
        <v>Dalton Schultz</v>
      </c>
      <c r="C214" s="6" t="n">
        <f aca="false">TE!C27</f>
        <v>3.6</v>
      </c>
      <c r="D214" s="7" t="n">
        <f aca="false">TE!D27</f>
        <v>3</v>
      </c>
      <c r="E214" s="6"/>
      <c r="F214" s="8"/>
      <c r="G214" s="6"/>
      <c r="H214" s="8"/>
    </row>
    <row r="215" customFormat="false" ht="15" hidden="false" customHeight="false" outlineLevel="0" collapsed="false">
      <c r="A215" s="5" t="n">
        <v>23</v>
      </c>
      <c r="B215" s="5" t="str">
        <f aca="false">TE!B28</f>
        <v>Mike Gesicki</v>
      </c>
      <c r="C215" s="6" t="n">
        <f aca="false">TE!C28</f>
        <v>3.3</v>
      </c>
      <c r="D215" s="7" t="n">
        <f aca="false">TE!D28</f>
        <v>3</v>
      </c>
      <c r="E215" s="6" t="n">
        <f aca="false">TE!V27</f>
        <v>1.6</v>
      </c>
      <c r="F215" s="7" t="n">
        <f aca="false">TE!W27</f>
        <v>3</v>
      </c>
      <c r="G215" s="6"/>
      <c r="H215" s="8"/>
    </row>
    <row r="216" customFormat="false" ht="15" hidden="false" customHeight="false" outlineLevel="0" collapsed="false">
      <c r="A216" s="5" t="n">
        <v>24</v>
      </c>
      <c r="B216" s="5" t="str">
        <f aca="false">TE!B29</f>
        <v>Chig Okonkwo</v>
      </c>
      <c r="C216" s="6" t="n">
        <f aca="false">TE!C29</f>
        <v>2.9</v>
      </c>
      <c r="D216" s="7" t="n">
        <f aca="false">TE!D29</f>
        <v>3</v>
      </c>
      <c r="E216" s="6"/>
      <c r="F216" s="8"/>
      <c r="G216" s="6"/>
      <c r="H216" s="8"/>
    </row>
    <row r="217" customFormat="false" ht="15" hidden="false" customHeight="false" outlineLevel="0" collapsed="false">
      <c r="A217" s="5" t="n">
        <v>25</v>
      </c>
      <c r="B217" s="5" t="str">
        <f aca="false">TE!B30</f>
        <v>Darren Waller</v>
      </c>
      <c r="C217" s="6" t="n">
        <f aca="false">TE!C30</f>
        <v>2.4</v>
      </c>
      <c r="D217" s="7" t="n">
        <f aca="false">TE!D30</f>
        <v>3</v>
      </c>
      <c r="E217" s="6"/>
      <c r="F217" s="8"/>
      <c r="G217" s="6"/>
      <c r="H217" s="8"/>
    </row>
    <row r="218" customFormat="false" ht="15" hidden="false" customHeight="false" outlineLevel="0" collapsed="false">
      <c r="A218" s="5" t="n">
        <v>26</v>
      </c>
      <c r="B218" s="5" t="str">
        <f aca="false">TE!B31</f>
        <v>Oronde Gadsden II</v>
      </c>
      <c r="C218" s="6" t="n">
        <f aca="false">TE!C31</f>
        <v>1.9</v>
      </c>
      <c r="D218" s="7" t="n">
        <f aca="false">TE!D31</f>
        <v>3</v>
      </c>
      <c r="E218" s="6" t="n">
        <f aca="false">TE!V28</f>
        <v>0</v>
      </c>
      <c r="F218" s="7" t="n">
        <f aca="false">TE!W28</f>
        <v>3</v>
      </c>
      <c r="G218" s="6"/>
      <c r="H218" s="8"/>
    </row>
    <row r="219" customFormat="false" ht="15" hidden="false" customHeight="false" outlineLevel="0" collapsed="false">
      <c r="A219" s="5" t="n">
        <v>27</v>
      </c>
      <c r="B219" s="5" t="str">
        <f aca="false">TE!B32</f>
        <v>Terrance Ferguson</v>
      </c>
      <c r="C219" s="6" t="n">
        <f aca="false">TE!C32</f>
        <v>1.8</v>
      </c>
      <c r="D219" s="7" t="n">
        <f aca="false">TE!D32</f>
        <v>4</v>
      </c>
      <c r="E219" s="6" t="n">
        <f aca="false">TE!V29</f>
        <v>1</v>
      </c>
      <c r="F219" s="7" t="n">
        <f aca="false">TE!W29</f>
        <v>4</v>
      </c>
      <c r="G219" s="6"/>
      <c r="H219" s="8"/>
    </row>
    <row r="220" customFormat="false" ht="15" hidden="false" customHeight="false" outlineLevel="0" collapsed="false">
      <c r="A220" s="5" t="n">
        <v>28</v>
      </c>
      <c r="B220" s="5" t="str">
        <f aca="false">TE!B33</f>
        <v>T.J. Hockenson</v>
      </c>
      <c r="C220" s="6" t="n">
        <f aca="false">TE!C33</f>
        <v>1.8</v>
      </c>
      <c r="D220" s="7" t="n">
        <f aca="false">TE!D33</f>
        <v>4</v>
      </c>
      <c r="E220" s="6" t="n">
        <f aca="false">TE!V30</f>
        <v>1.1</v>
      </c>
      <c r="F220" s="7" t="n">
        <f aca="false">TE!W30</f>
        <v>4</v>
      </c>
      <c r="G220" s="6"/>
      <c r="H220" s="8"/>
    </row>
    <row r="221" customFormat="false" ht="15" hidden="false" customHeight="false" outlineLevel="0" collapsed="false">
      <c r="A221" s="5" t="n">
        <v>29</v>
      </c>
      <c r="B221" s="5" t="str">
        <f aca="false">TE!B34</f>
        <v>AJ Barner</v>
      </c>
      <c r="C221" s="6" t="n">
        <f aca="false">TE!C34</f>
        <v>0.7</v>
      </c>
      <c r="D221" s="7" t="n">
        <f aca="false">TE!D34</f>
        <v>3</v>
      </c>
      <c r="E221" s="6"/>
      <c r="F221" s="8"/>
      <c r="G221" s="6"/>
      <c r="H221" s="8"/>
    </row>
    <row r="222" customFormat="false" ht="15" hidden="false" customHeight="false" outlineLevel="0" collapsed="false">
      <c r="A222" s="5" t="n">
        <v>30</v>
      </c>
      <c r="B222" s="5" t="str">
        <f aca="false">TE!B35</f>
        <v>Cade Otton</v>
      </c>
      <c r="C222" s="6" t="n">
        <f aca="false">TE!C35</f>
        <v>0.2</v>
      </c>
      <c r="D222" s="7" t="n">
        <f aca="false">TE!D35</f>
        <v>3</v>
      </c>
      <c r="E222" s="6"/>
      <c r="F222" s="8"/>
      <c r="G222" s="6"/>
      <c r="H222" s="8"/>
    </row>
    <row r="223" customFormat="false" ht="15" hidden="false" customHeight="false" outlineLevel="0" collapsed="false">
      <c r="A223" s="5" t="n">
        <v>31</v>
      </c>
      <c r="B223" s="5" t="str">
        <f aca="false">TE!B36</f>
        <v>Evan Engram</v>
      </c>
      <c r="C223" s="6" t="n">
        <f aca="false">TE!C36</f>
        <v>0.1</v>
      </c>
      <c r="D223" s="7" t="n">
        <f aca="false">TE!D36</f>
        <v>3</v>
      </c>
      <c r="E223" s="6"/>
      <c r="F223" s="8"/>
      <c r="G223" s="6"/>
      <c r="H223" s="8"/>
    </row>
    <row r="224" customFormat="false" ht="15" hidden="false" customHeight="false" outlineLevel="0" collapsed="false">
      <c r="A224" s="5" t="n">
        <v>32</v>
      </c>
      <c r="B224" s="5" t="str">
        <f aca="false">TE!B37</f>
        <v>Greg Dulcich</v>
      </c>
      <c r="C224" s="6" t="n">
        <f aca="false">TE!C37</f>
        <v>0</v>
      </c>
      <c r="D224" s="7" t="n">
        <f aca="false">TE!D37</f>
        <v>3</v>
      </c>
      <c r="E224" s="6" t="n">
        <f aca="false">TE!V31</f>
        <v>0</v>
      </c>
      <c r="F224" s="7" t="n">
        <f aca="false">TE!W31</f>
        <v>3</v>
      </c>
      <c r="G224" s="6"/>
      <c r="H224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4"/>
    <col collapsed="false" customWidth="true" hidden="false" outlineLevel="0" max="3" min="3" style="1" width="16"/>
    <col collapsed="false" customWidth="true" hidden="false" outlineLevel="0" max="4" min="4" style="1" width="10"/>
    <col collapsed="false" customWidth="true" hidden="false" outlineLevel="0" max="14" min="5" style="1" width="9"/>
    <col collapsed="false" customWidth="true" hidden="false" outlineLevel="0" max="15" min="15" style="1" width="4"/>
    <col collapsed="false" customWidth="true" hidden="false" outlineLevel="0" max="16" min="16" style="1" width="26"/>
    <col collapsed="false" customWidth="true" hidden="false" outlineLevel="0" max="17" min="17" style="1" width="9"/>
    <col collapsed="false" customWidth="true" hidden="false" outlineLevel="0" max="20" min="20" style="1" width="6"/>
    <col collapsed="false" customWidth="true" hidden="false" outlineLevel="0" max="21" min="21" style="1" width="24"/>
    <col collapsed="false" customWidth="true" hidden="false" outlineLevel="0" max="22" min="22" style="1" width="16"/>
    <col collapsed="false" customWidth="true" hidden="false" outlineLevel="0" max="23" min="23" style="1" width="10"/>
    <col collapsed="false" customWidth="true" hidden="false" outlineLevel="0" max="33" min="24" style="1" width="9"/>
    <col collapsed="false" customWidth="true" hidden="false" outlineLevel="0" max="34" min="34" style="1" width="4"/>
    <col collapsed="false" customWidth="true" hidden="false" outlineLevel="0" max="35" min="35" style="1" width="26"/>
    <col collapsed="false" customWidth="true" hidden="false" outlineLevel="0" max="36" min="36" style="1" width="9"/>
  </cols>
  <sheetData>
    <row r="1" customFormat="false" ht="17.25" hidden="false" customHeight="true" outlineLevel="0" collapsed="false">
      <c r="A1" s="2" t="s">
        <v>13</v>
      </c>
      <c r="P1" s="9" t="s">
        <v>14</v>
      </c>
      <c r="T1" s="2" t="s">
        <v>15</v>
      </c>
      <c r="AI1" s="9" t="s">
        <v>14</v>
      </c>
    </row>
    <row r="2" customFormat="false" ht="15" hidden="false" customHeight="true" outlineLevel="0" collapsed="false">
      <c r="T2" s="10" t="s">
        <v>16</v>
      </c>
    </row>
    <row r="5" customFormat="false" ht="26.25" hidden="false" customHeight="true" outlineLevel="0" collapsed="false">
      <c r="A5" s="11" t="s">
        <v>17</v>
      </c>
      <c r="B5" s="11" t="s">
        <v>3</v>
      </c>
      <c r="C5" s="11" t="s">
        <v>18</v>
      </c>
      <c r="D5" s="11" t="s">
        <v>5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2"/>
      <c r="T5" s="11" t="s">
        <v>17</v>
      </c>
      <c r="U5" s="11" t="s">
        <v>3</v>
      </c>
      <c r="V5" s="11" t="s">
        <v>18</v>
      </c>
      <c r="W5" s="11" t="s">
        <v>5</v>
      </c>
      <c r="X5" s="11" t="s">
        <v>19</v>
      </c>
      <c r="Y5" s="11" t="s">
        <v>20</v>
      </c>
      <c r="Z5" s="11" t="s">
        <v>21</v>
      </c>
      <c r="AA5" s="11" t="s">
        <v>22</v>
      </c>
      <c r="AB5" s="11" t="s">
        <v>23</v>
      </c>
      <c r="AC5" s="11" t="s">
        <v>24</v>
      </c>
      <c r="AD5" s="11" t="s">
        <v>27</v>
      </c>
      <c r="AE5" s="11" t="s">
        <v>28</v>
      </c>
      <c r="AH5" s="12"/>
    </row>
    <row r="6" customFormat="false" ht="15" hidden="false" customHeight="true" outlineLevel="0" collapsed="false">
      <c r="A6" s="5" t="s">
        <v>29</v>
      </c>
      <c r="B6" s="5" t="s">
        <v>30</v>
      </c>
      <c r="C6" s="6" t="n">
        <f aca="false">IFERROR(ROUND(MAX(0,AVERAGE(F6,H6,J6,L6,N6)),1),"")</f>
        <v>32.1</v>
      </c>
      <c r="D6" s="7" t="n">
        <f aca="false">COUNT(E6,G6,I6,K6,M6)</f>
        <v>5</v>
      </c>
      <c r="E6" s="13" t="n">
        <v>32</v>
      </c>
      <c r="F6" s="6" t="n">
        <f aca="false">IF(E6="","",ROUND(((E6-Q$7)/Q$8)*Q$18+Q$17,1))</f>
        <v>36.3</v>
      </c>
      <c r="G6" s="13" t="n">
        <v>22</v>
      </c>
      <c r="H6" s="6" t="n">
        <f aca="false">IF(G6="","",ROUND(((G6-Q$9)/Q$10)*Q$18+Q$17,1))</f>
        <v>32.1</v>
      </c>
      <c r="I6" s="13" t="n">
        <v>29.1</v>
      </c>
      <c r="J6" s="6" t="n">
        <f aca="false">IF(I6="","",ROUND(((I6-Q$11)/Q$12)*Q$18+Q$17,1))</f>
        <v>29.3</v>
      </c>
      <c r="K6" s="13" t="n">
        <v>1831</v>
      </c>
      <c r="L6" s="6" t="n">
        <f aca="false">IF(K6="","",ROUND(((K6-Q$13)/Q$14)*Q$18+Q$17,1))</f>
        <v>31</v>
      </c>
      <c r="M6" s="13" t="n">
        <v>40</v>
      </c>
      <c r="N6" s="6" t="n">
        <f aca="false">IF(M6="","",ROUND(((M6-Q$15)/Q$16)*Q$18+Q$17,1))</f>
        <v>31.7</v>
      </c>
      <c r="O6" s="12"/>
      <c r="T6" s="5" t="s">
        <v>29</v>
      </c>
      <c r="U6" s="5" t="s">
        <v>30</v>
      </c>
      <c r="V6" s="6" t="n">
        <f aca="false">IFERROR(ROUND(MAX(0,AVERAGE(Y6,AA6,AC6,AE6)),1),"")</f>
        <v>71.9</v>
      </c>
      <c r="W6" s="7" t="n">
        <f aca="false">COUNT(X6,Z6,AB6,AD6)</f>
        <v>4</v>
      </c>
      <c r="X6" s="13" t="n">
        <v>81</v>
      </c>
      <c r="Y6" s="6" t="n">
        <f aca="false">IF(X6="","",ROUND(((X6-AJ$7)/AJ$8)*AJ$16+AJ$15,1))</f>
        <v>69.7</v>
      </c>
      <c r="Z6" s="13" t="n">
        <v>48</v>
      </c>
      <c r="AA6" s="6" t="n">
        <f aca="false">IF(Z6="","",ROUND(((Z6-AJ$9)/AJ$10)*AJ$16+AJ$15,1))</f>
        <v>80.3</v>
      </c>
      <c r="AB6" s="13" t="n">
        <v>69.5</v>
      </c>
      <c r="AC6" s="6" t="n">
        <f aca="false">IF(AB6="","",ROUND(((AB6-AJ$11)/AJ$12)*AJ$16+AJ$15,1))</f>
        <v>63.6</v>
      </c>
      <c r="AD6" s="13" t="n">
        <v>75</v>
      </c>
      <c r="AE6" s="6" t="n">
        <f aca="false">IF(AD6="","",ROUND(((AD6-AJ$13)/AJ$14)*AJ$16+AJ$15,1))</f>
        <v>73.8</v>
      </c>
      <c r="AF6" s="14"/>
      <c r="AG6" s="14"/>
      <c r="AH6" s="12"/>
    </row>
    <row r="7" customFormat="false" ht="15" hidden="false" customHeight="true" outlineLevel="0" collapsed="false">
      <c r="A7" s="5" t="s">
        <v>29</v>
      </c>
      <c r="B7" s="5" t="s">
        <v>31</v>
      </c>
      <c r="C7" s="6" t="n">
        <f aca="false">IFERROR(ROUND(MAX(0,AVERAGE(F7,H7,J7,L7,N7)),1),"")</f>
        <v>20.1</v>
      </c>
      <c r="D7" s="7" t="n">
        <f aca="false">COUNT(E7,G7,I7,K7,M7)</f>
        <v>5</v>
      </c>
      <c r="E7" s="13" t="n">
        <v>21</v>
      </c>
      <c r="F7" s="6" t="n">
        <f aca="false">IF(E7="","",ROUND(((E7-Q$7)/Q$8)*Q$18+Q$17,1))</f>
        <v>24.4</v>
      </c>
      <c r="G7" s="13" t="n">
        <v>12</v>
      </c>
      <c r="H7" s="6" t="n">
        <f aca="false">IF(G7="","",ROUND(((G7-Q$9)/Q$10)*Q$18+Q$17,1))</f>
        <v>12</v>
      </c>
      <c r="I7" s="13" t="n">
        <v>24.7</v>
      </c>
      <c r="J7" s="6" t="n">
        <f aca="false">IF(I7="","",ROUND(((I7-Q$11)/Q$12)*Q$18+Q$17,1))</f>
        <v>25.2</v>
      </c>
      <c r="K7" s="13" t="n">
        <v>1290</v>
      </c>
      <c r="L7" s="6" t="n">
        <f aca="false">IF(K7="","",ROUND(((K7-Q$13)/Q$14)*Q$18+Q$17,1))</f>
        <v>20.2</v>
      </c>
      <c r="M7" s="13" t="n">
        <v>24</v>
      </c>
      <c r="N7" s="6" t="n">
        <f aca="false">IF(M7="","",ROUND(((M7-Q$15)/Q$16)*Q$18+Q$17,1))</f>
        <v>18.7</v>
      </c>
      <c r="O7" s="12"/>
      <c r="P7" s="9" t="s">
        <v>32</v>
      </c>
      <c r="Q7" s="15" t="n">
        <f aca="false">IFERROR(AVERAGE(E6:E400),"")</f>
        <v>6.25</v>
      </c>
      <c r="T7" s="5" t="s">
        <v>29</v>
      </c>
      <c r="U7" s="5" t="s">
        <v>31</v>
      </c>
      <c r="V7" s="6" t="n">
        <f aca="false">IFERROR(ROUND(MAX(0,AVERAGE(Y7,AA7,AC7,AE7)),1),"")</f>
        <v>56.9</v>
      </c>
      <c r="W7" s="7" t="n">
        <f aca="false">COUNT(X7,Z7,AB7,AD7)</f>
        <v>4</v>
      </c>
      <c r="X7" s="13" t="n">
        <v>70</v>
      </c>
      <c r="Y7" s="6" t="n">
        <f aca="false">IF(X7="","",ROUND(((X7-AJ$7)/AJ$8)*AJ$16+AJ$15,1))</f>
        <v>62</v>
      </c>
      <c r="Z7" s="13" t="n">
        <v>30</v>
      </c>
      <c r="AA7" s="6" t="n">
        <f aca="false">IF(Z7="","",ROUND(((Z7-AJ$9)/AJ$10)*AJ$16+AJ$15,1))</f>
        <v>57.8</v>
      </c>
      <c r="AB7" s="13" t="n">
        <v>55.5</v>
      </c>
      <c r="AC7" s="6" t="n">
        <f aca="false">IF(AB7="","",ROUND(((AB7-AJ$11)/AJ$12)*AJ$16+AJ$15,1))</f>
        <v>51.9</v>
      </c>
      <c r="AD7" s="13" t="n">
        <v>61</v>
      </c>
      <c r="AE7" s="6" t="n">
        <f aca="false">IF(AD7="","",ROUND(((AD7-AJ$13)/AJ$14)*AJ$16+AJ$15,1))</f>
        <v>55.8</v>
      </c>
      <c r="AF7" s="14"/>
      <c r="AG7" s="14"/>
      <c r="AH7" s="12"/>
      <c r="AI7" s="9" t="s">
        <v>32</v>
      </c>
      <c r="AJ7" s="15" t="n">
        <f aca="false">IFERROR(AVERAGE(X6:X400),"")</f>
        <v>39.3125</v>
      </c>
    </row>
    <row r="8" customFormat="false" ht="15" hidden="false" customHeight="true" outlineLevel="0" collapsed="false">
      <c r="A8" s="5" t="s">
        <v>29</v>
      </c>
      <c r="B8" s="5" t="s">
        <v>33</v>
      </c>
      <c r="C8" s="6" t="n">
        <f aca="false">IFERROR(ROUND(MAX(0,AVERAGE(F8,H8,J8,L8,N8)),1),"")</f>
        <v>19.9</v>
      </c>
      <c r="D8" s="7" t="n">
        <f aca="false">COUNT(E8,G8,I8,K8,M8)</f>
        <v>5</v>
      </c>
      <c r="E8" s="13" t="n">
        <v>16</v>
      </c>
      <c r="F8" s="6" t="n">
        <f aca="false">IF(E8="","",ROUND(((E8-Q$7)/Q$8)*Q$18+Q$17,1))</f>
        <v>19</v>
      </c>
      <c r="G8" s="13" t="n">
        <v>13</v>
      </c>
      <c r="H8" s="6" t="n">
        <f aca="false">IF(G8="","",ROUND(((G8-Q$9)/Q$10)*Q$18+Q$17,1))</f>
        <v>14</v>
      </c>
      <c r="I8" s="13" t="n">
        <v>28.6</v>
      </c>
      <c r="J8" s="6" t="n">
        <f aca="false">IF(I8="","",ROUND(((I8-Q$11)/Q$12)*Q$18+Q$17,1))</f>
        <v>28.8</v>
      </c>
      <c r="K8" s="13" t="n">
        <v>1161</v>
      </c>
      <c r="L8" s="6" t="n">
        <f aca="false">IF(K8="","",ROUND(((K8-Q$13)/Q$14)*Q$18+Q$17,1))</f>
        <v>17.6</v>
      </c>
      <c r="M8" s="13" t="n">
        <v>26</v>
      </c>
      <c r="N8" s="6" t="n">
        <f aca="false">IF(M8="","",ROUND(((M8-Q$15)/Q$16)*Q$18+Q$17,1))</f>
        <v>20.3</v>
      </c>
      <c r="O8" s="12"/>
      <c r="P8" s="9" t="s">
        <v>34</v>
      </c>
      <c r="Q8" s="16" t="n">
        <f aca="false">IFERROR(STDEVP(E6:E400),"")</f>
        <v>7.57050196486336</v>
      </c>
      <c r="T8" s="5" t="s">
        <v>29</v>
      </c>
      <c r="U8" s="5" t="s">
        <v>33</v>
      </c>
      <c r="V8" s="6" t="n">
        <f aca="false">IFERROR(ROUND(MAX(0,AVERAGE(Y8,AA8,AC8,AE8)),1),"")</f>
        <v>56.1</v>
      </c>
      <c r="W8" s="7" t="n">
        <f aca="false">COUNT(X8,Z8,AB8,AD8)</f>
        <v>4</v>
      </c>
      <c r="X8" s="13" t="n">
        <v>61</v>
      </c>
      <c r="Y8" s="6" t="n">
        <f aca="false">IF(X8="","",ROUND(((X8-AJ$7)/AJ$8)*AJ$16+AJ$15,1))</f>
        <v>55.8</v>
      </c>
      <c r="Z8" s="13" t="n">
        <v>30</v>
      </c>
      <c r="AA8" s="6" t="n">
        <f aca="false">IF(Z8="","",ROUND(((Z8-AJ$9)/AJ$10)*AJ$16+AJ$15,1))</f>
        <v>57.8</v>
      </c>
      <c r="AB8" s="13" t="n">
        <v>56.2</v>
      </c>
      <c r="AC8" s="6" t="n">
        <f aca="false">IF(AB8="","",ROUND(((AB8-AJ$11)/AJ$12)*AJ$16+AJ$15,1))</f>
        <v>52.5</v>
      </c>
      <c r="AD8" s="13" t="n">
        <v>63</v>
      </c>
      <c r="AE8" s="6" t="n">
        <f aca="false">IF(AD8="","",ROUND(((AD8-AJ$13)/AJ$14)*AJ$16+AJ$15,1))</f>
        <v>58.4</v>
      </c>
      <c r="AF8" s="14"/>
      <c r="AG8" s="14"/>
      <c r="AH8" s="12"/>
      <c r="AI8" s="9" t="s">
        <v>34</v>
      </c>
      <c r="AJ8" s="16" t="n">
        <f aca="false">IFERROR(STDEVP(X6:X400),"")</f>
        <v>17.3753372269433</v>
      </c>
    </row>
    <row r="9" customFormat="false" ht="15" hidden="false" customHeight="true" outlineLevel="0" collapsed="false">
      <c r="A9" s="5" t="s">
        <v>29</v>
      </c>
      <c r="B9" s="5" t="s">
        <v>35</v>
      </c>
      <c r="C9" s="6" t="n">
        <f aca="false">IFERROR(ROUND(MAX(0,AVERAGE(F9,H9,J9,L9,N9)),1),"")</f>
        <v>17.4</v>
      </c>
      <c r="D9" s="7" t="n">
        <f aca="false">COUNT(E9,G9,I9,K9,M9)</f>
        <v>5</v>
      </c>
      <c r="E9" s="13" t="n">
        <v>16</v>
      </c>
      <c r="F9" s="6" t="n">
        <f aca="false">IF(E9="","",ROUND(((E9-Q$7)/Q$8)*Q$18+Q$17,1))</f>
        <v>19</v>
      </c>
      <c r="G9" s="13" t="n">
        <v>10</v>
      </c>
      <c r="H9" s="6" t="n">
        <f aca="false">IF(G9="","",ROUND(((G9-Q$9)/Q$10)*Q$18+Q$17,1))</f>
        <v>8</v>
      </c>
      <c r="I9" s="13" t="n">
        <v>19</v>
      </c>
      <c r="J9" s="6" t="n">
        <f aca="false">IF(I9="","",ROUND(((I9-Q$11)/Q$12)*Q$18+Q$17,1))</f>
        <v>19.9</v>
      </c>
      <c r="K9" s="13" t="n">
        <v>1274</v>
      </c>
      <c r="L9" s="6" t="n">
        <f aca="false">IF(K9="","",ROUND(((K9-Q$13)/Q$14)*Q$18+Q$17,1))</f>
        <v>19.9</v>
      </c>
      <c r="M9" s="13" t="n">
        <v>26</v>
      </c>
      <c r="N9" s="6" t="n">
        <f aca="false">IF(M9="","",ROUND(((M9-Q$15)/Q$16)*Q$18+Q$17,1))</f>
        <v>20.3</v>
      </c>
      <c r="O9" s="12"/>
      <c r="P9" s="9" t="s">
        <v>36</v>
      </c>
      <c r="Q9" s="15" t="n">
        <f aca="false">IFERROR(AVERAGE(G6:G400),"")</f>
        <v>10.2142857142857</v>
      </c>
      <c r="T9" s="5" t="s">
        <v>29</v>
      </c>
      <c r="U9" s="5" t="s">
        <v>35</v>
      </c>
      <c r="V9" s="6" t="n">
        <f aca="false">IFERROR(ROUND(MAX(0,AVERAGE(Y9,AA9,AC9,AE9)),1),"")</f>
        <v>54</v>
      </c>
      <c r="W9" s="7" t="n">
        <f aca="false">COUNT(X9,Z9,AB9,AD9)</f>
        <v>4</v>
      </c>
      <c r="X9" s="13" t="n">
        <v>61</v>
      </c>
      <c r="Y9" s="6" t="n">
        <f aca="false">IF(X9="","",ROUND(((X9-AJ$7)/AJ$8)*AJ$16+AJ$15,1))</f>
        <v>55.8</v>
      </c>
      <c r="Z9" s="13" t="n">
        <v>24</v>
      </c>
      <c r="AA9" s="6" t="n">
        <f aca="false">IF(Z9="","",ROUND(((Z9-AJ$9)/AJ$10)*AJ$16+AJ$15,1))</f>
        <v>50.3</v>
      </c>
      <c r="AB9" s="13" t="n">
        <v>54.9</v>
      </c>
      <c r="AC9" s="6" t="n">
        <f aca="false">IF(AB9="","",ROUND(((AB9-AJ$11)/AJ$12)*AJ$16+AJ$15,1))</f>
        <v>51.4</v>
      </c>
      <c r="AD9" s="13" t="n">
        <v>63</v>
      </c>
      <c r="AE9" s="6" t="n">
        <f aca="false">IF(AD9="","",ROUND(((AD9-AJ$13)/AJ$14)*AJ$16+AJ$15,1))</f>
        <v>58.4</v>
      </c>
      <c r="AF9" s="14"/>
      <c r="AG9" s="14"/>
      <c r="AH9" s="12"/>
      <c r="AI9" s="9" t="s">
        <v>36</v>
      </c>
      <c r="AJ9" s="15" t="n">
        <f aca="false">IFERROR(AVERAGE(Z6:Z400),"")</f>
        <v>16.3125</v>
      </c>
    </row>
    <row r="10" customFormat="false" ht="15" hidden="false" customHeight="true" outlineLevel="0" collapsed="false">
      <c r="A10" s="5" t="s">
        <v>29</v>
      </c>
      <c r="B10" s="5" t="s">
        <v>37</v>
      </c>
      <c r="C10" s="6" t="n">
        <f aca="false">IFERROR(ROUND(MAX(0,AVERAGE(F10,H10,J10,L10,N10)),1),"")</f>
        <v>15.3</v>
      </c>
      <c r="D10" s="7" t="n">
        <f aca="false">COUNT(E10,G10,I10,K10,M10)</f>
        <v>5</v>
      </c>
      <c r="E10" s="13" t="n">
        <v>14</v>
      </c>
      <c r="F10" s="6" t="n">
        <f aca="false">IF(E10="","",ROUND(((E10-Q$7)/Q$8)*Q$18+Q$17,1))</f>
        <v>16.8</v>
      </c>
      <c r="G10" s="13" t="n">
        <v>12</v>
      </c>
      <c r="H10" s="6" t="n">
        <f aca="false">IF(G10="","",ROUND(((G10-Q$9)/Q$10)*Q$18+Q$17,1))</f>
        <v>12</v>
      </c>
      <c r="I10" s="13" t="n">
        <v>12.8</v>
      </c>
      <c r="J10" s="6" t="n">
        <f aca="false">IF(I10="","",ROUND(((I10-Q$11)/Q$12)*Q$18+Q$17,1))</f>
        <v>14.1</v>
      </c>
      <c r="K10" s="13" t="n">
        <v>1226</v>
      </c>
      <c r="L10" s="6" t="n">
        <f aca="false">IF(K10="","",ROUND(((K10-Q$13)/Q$14)*Q$18+Q$17,1))</f>
        <v>18.9</v>
      </c>
      <c r="M10" s="13" t="n">
        <v>19</v>
      </c>
      <c r="N10" s="6" t="n">
        <f aca="false">IF(M10="","",ROUND(((M10-Q$15)/Q$16)*Q$18+Q$17,1))</f>
        <v>14.6</v>
      </c>
      <c r="O10" s="12"/>
      <c r="P10" s="9" t="s">
        <v>38</v>
      </c>
      <c r="Q10" s="16" t="n">
        <f aca="false">IFERROR(STDEVP(G6:G400),"")</f>
        <v>4.0739340661712</v>
      </c>
      <c r="T10" s="5" t="s">
        <v>29</v>
      </c>
      <c r="U10" s="5" t="s">
        <v>37</v>
      </c>
      <c r="V10" s="6" t="n">
        <f aca="false">IFERROR(ROUND(MAX(0,AVERAGE(Y10,AA10,AC10,AE10)),1),"")</f>
        <v>52.5</v>
      </c>
      <c r="W10" s="7" t="n">
        <f aca="false">COUNT(X10,Z10,AB10,AD10)</f>
        <v>4</v>
      </c>
      <c r="X10" s="13" t="n">
        <v>58</v>
      </c>
      <c r="Y10" s="6" t="n">
        <f aca="false">IF(X10="","",ROUND(((X10-AJ$7)/AJ$8)*AJ$16+AJ$15,1))</f>
        <v>53.7</v>
      </c>
      <c r="Z10" s="13" t="n">
        <v>30</v>
      </c>
      <c r="AA10" s="6" t="n">
        <f aca="false">IF(Z10="","",ROUND(((Z10-AJ$9)/AJ$10)*AJ$16+AJ$15,1))</f>
        <v>57.8</v>
      </c>
      <c r="AB10" s="13" t="n">
        <v>52.1</v>
      </c>
      <c r="AC10" s="6" t="n">
        <f aca="false">IF(AB10="","",ROUND(((AB10-AJ$11)/AJ$12)*AJ$16+AJ$15,1))</f>
        <v>49.1</v>
      </c>
      <c r="AD10" s="13" t="n">
        <v>56</v>
      </c>
      <c r="AE10" s="6" t="n">
        <f aca="false">IF(AD10="","",ROUND(((AD10-AJ$13)/AJ$14)*AJ$16+AJ$15,1))</f>
        <v>49.3</v>
      </c>
      <c r="AF10" s="14"/>
      <c r="AG10" s="14"/>
      <c r="AH10" s="12"/>
      <c r="AI10" s="9" t="s">
        <v>38</v>
      </c>
      <c r="AJ10" s="16" t="n">
        <f aca="false">IFERROR(STDEVP(Z6:Z400),"")</f>
        <v>9.68064273434363</v>
      </c>
    </row>
    <row r="11" customFormat="false" ht="15" hidden="false" customHeight="true" outlineLevel="0" collapsed="false">
      <c r="A11" s="5" t="s">
        <v>29</v>
      </c>
      <c r="B11" s="5" t="s">
        <v>39</v>
      </c>
      <c r="C11" s="6" t="n">
        <f aca="false">IFERROR(ROUND(MAX(0,AVERAGE(F11,H11,J11,L11,N11)),1),"")</f>
        <v>14.6</v>
      </c>
      <c r="D11" s="7" t="n">
        <f aca="false">COUNT(E11,G11,I11,K11,M11)</f>
        <v>5</v>
      </c>
      <c r="E11" s="13" t="n">
        <v>13</v>
      </c>
      <c r="F11" s="6" t="n">
        <f aca="false">IF(E11="","",ROUND(((E11-Q$7)/Q$8)*Q$18+Q$17,1))</f>
        <v>15.8</v>
      </c>
      <c r="G11" s="13" t="n">
        <v>12</v>
      </c>
      <c r="H11" s="6" t="n">
        <f aca="false">IF(G11="","",ROUND(((G11-Q$9)/Q$10)*Q$18+Q$17,1))</f>
        <v>12</v>
      </c>
      <c r="I11" s="13" t="n">
        <v>10</v>
      </c>
      <c r="J11" s="6" t="n">
        <f aca="false">IF(I11="","",ROUND(((I11-Q$11)/Q$12)*Q$18+Q$17,1))</f>
        <v>11.5</v>
      </c>
      <c r="K11" s="13" t="n">
        <v>1061</v>
      </c>
      <c r="L11" s="6" t="n">
        <f aca="false">IF(K11="","",ROUND(((K11-Q$13)/Q$14)*Q$18+Q$17,1))</f>
        <v>15.7</v>
      </c>
      <c r="M11" s="13" t="n">
        <v>23</v>
      </c>
      <c r="N11" s="6" t="n">
        <f aca="false">IF(M11="","",ROUND(((M11-Q$15)/Q$16)*Q$18+Q$17,1))</f>
        <v>17.9</v>
      </c>
      <c r="O11" s="12"/>
      <c r="P11" s="9" t="s">
        <v>40</v>
      </c>
      <c r="Q11" s="15" t="n">
        <f aca="false">IFERROR(AVERAGE(I6:I400),"")</f>
        <v>6.678125</v>
      </c>
      <c r="T11" s="5" t="s">
        <v>29</v>
      </c>
      <c r="U11" s="5" t="s">
        <v>39</v>
      </c>
      <c r="V11" s="6" t="n">
        <f aca="false">IFERROR(ROUND(MAX(0,AVERAGE(Y11,AA11,AC11,AE11)),1),"")</f>
        <v>53.4</v>
      </c>
      <c r="W11" s="7" t="n">
        <f aca="false">COUNT(X11,Z11,AB11,AD11)</f>
        <v>4</v>
      </c>
      <c r="X11" s="13" t="n">
        <v>57</v>
      </c>
      <c r="Y11" s="6" t="n">
        <f aca="false">IF(X11="","",ROUND(((X11-AJ$7)/AJ$8)*AJ$16+AJ$15,1))</f>
        <v>53</v>
      </c>
      <c r="Z11" s="13" t="n">
        <v>30</v>
      </c>
      <c r="AA11" s="6" t="n">
        <f aca="false">IF(Z11="","",ROUND(((Z11-AJ$9)/AJ$10)*AJ$16+AJ$15,1))</f>
        <v>57.8</v>
      </c>
      <c r="AB11" s="13" t="n">
        <v>50.9</v>
      </c>
      <c r="AC11" s="6" t="n">
        <f aca="false">IF(AB11="","",ROUND(((AB11-AJ$11)/AJ$12)*AJ$16+AJ$15,1))</f>
        <v>48.1</v>
      </c>
      <c r="AD11" s="13" t="n">
        <v>60</v>
      </c>
      <c r="AE11" s="6" t="n">
        <f aca="false">IF(AD11="","",ROUND(((AD11-AJ$13)/AJ$14)*AJ$16+AJ$15,1))</f>
        <v>54.5</v>
      </c>
      <c r="AF11" s="14"/>
      <c r="AG11" s="14"/>
      <c r="AH11" s="12"/>
      <c r="AI11" s="9" t="s">
        <v>40</v>
      </c>
      <c r="AJ11" s="15" t="n">
        <f aca="false">IFERROR(AVERAGE(AB6:AB400),"")</f>
        <v>41.965625</v>
      </c>
    </row>
    <row r="12" customFormat="false" ht="15" hidden="false" customHeight="true" outlineLevel="0" collapsed="false">
      <c r="A12" s="5" t="s">
        <v>29</v>
      </c>
      <c r="B12" s="5" t="s">
        <v>41</v>
      </c>
      <c r="C12" s="6" t="n">
        <f aca="false">IFERROR(ROUND(MAX(0,AVERAGE(F12,H12,J12,L12,N12)),1),"")</f>
        <v>13.9</v>
      </c>
      <c r="D12" s="7" t="n">
        <f aca="false">COUNT(E12,G12,I12,K12,M12)</f>
        <v>5</v>
      </c>
      <c r="E12" s="13" t="n">
        <v>12</v>
      </c>
      <c r="F12" s="6" t="n">
        <f aca="false">IF(E12="","",ROUND(((E12-Q$7)/Q$8)*Q$18+Q$17,1))</f>
        <v>14.7</v>
      </c>
      <c r="G12" s="13" t="n">
        <v>9</v>
      </c>
      <c r="H12" s="6" t="n">
        <f aca="false">IF(G12="","",ROUND(((G12-Q$9)/Q$10)*Q$18+Q$17,1))</f>
        <v>6</v>
      </c>
      <c r="I12" s="13" t="n">
        <v>24.5</v>
      </c>
      <c r="J12" s="6" t="n">
        <f aca="false">IF(I12="","",ROUND(((I12-Q$11)/Q$12)*Q$18+Q$17,1))</f>
        <v>25</v>
      </c>
      <c r="K12" s="13" t="n">
        <v>890</v>
      </c>
      <c r="L12" s="6" t="n">
        <f aca="false">IF(K12="","",ROUND(((K12-Q$13)/Q$14)*Q$18+Q$17,1))</f>
        <v>12.3</v>
      </c>
      <c r="M12" s="13" t="n">
        <v>15</v>
      </c>
      <c r="N12" s="6" t="n">
        <f aca="false">IF(M12="","",ROUND(((M12-Q$15)/Q$16)*Q$18+Q$17,1))</f>
        <v>11.4</v>
      </c>
      <c r="O12" s="12"/>
      <c r="P12" s="9" t="s">
        <v>42</v>
      </c>
      <c r="Q12" s="16" t="n">
        <f aca="false">IFERROR(STDEVP(I6:I400),"")</f>
        <v>8.815034542438</v>
      </c>
      <c r="T12" s="5" t="s">
        <v>29</v>
      </c>
      <c r="U12" s="5" t="s">
        <v>41</v>
      </c>
      <c r="V12" s="6" t="n">
        <f aca="false">IFERROR(ROUND(MAX(0,AVERAGE(Y12,AA12,AC12,AE12)),1),"")</f>
        <v>49</v>
      </c>
      <c r="W12" s="7" t="n">
        <f aca="false">COUNT(X12,Z12,AB12,AD12)</f>
        <v>4</v>
      </c>
      <c r="X12" s="13" t="n">
        <v>56</v>
      </c>
      <c r="Y12" s="6" t="n">
        <f aca="false">IF(X12="","",ROUND(((X12-AJ$7)/AJ$8)*AJ$16+AJ$15,1))</f>
        <v>52.3</v>
      </c>
      <c r="Z12" s="13" t="n">
        <v>22</v>
      </c>
      <c r="AA12" s="6" t="n">
        <f aca="false">IF(Z12="","",ROUND(((Z12-AJ$9)/AJ$10)*AJ$16+AJ$15,1))</f>
        <v>47.8</v>
      </c>
      <c r="AB12" s="13" t="n">
        <v>55.1</v>
      </c>
      <c r="AC12" s="6" t="n">
        <f aca="false">IF(AB12="","",ROUND(((AB12-AJ$11)/AJ$12)*AJ$16+AJ$15,1))</f>
        <v>51.6</v>
      </c>
      <c r="AD12" s="13" t="n">
        <v>52</v>
      </c>
      <c r="AE12" s="6" t="n">
        <f aca="false">IF(AD12="","",ROUND(((AD12-AJ$13)/AJ$14)*AJ$16+AJ$15,1))</f>
        <v>44.2</v>
      </c>
      <c r="AF12" s="14"/>
      <c r="AG12" s="14"/>
      <c r="AH12" s="12"/>
      <c r="AI12" s="9" t="s">
        <v>42</v>
      </c>
      <c r="AJ12" s="16" t="n">
        <f aca="false">IFERROR(STDEVP(AB6:AB400),"")</f>
        <v>14.557914715349</v>
      </c>
    </row>
    <row r="13" customFormat="false" ht="15" hidden="false" customHeight="true" outlineLevel="0" collapsed="false">
      <c r="A13" s="5" t="s">
        <v>29</v>
      </c>
      <c r="B13" s="5" t="s">
        <v>43</v>
      </c>
      <c r="C13" s="6" t="n">
        <f aca="false">IFERROR(ROUND(MAX(0,AVERAGE(F13,H13,J13,L13,N13)),1),"")</f>
        <v>12</v>
      </c>
      <c r="D13" s="7" t="n">
        <f aca="false">COUNT(E13,G13,I13,K13,M13)</f>
        <v>5</v>
      </c>
      <c r="E13" s="13" t="n">
        <v>9</v>
      </c>
      <c r="F13" s="6" t="n">
        <f aca="false">IF(E13="","",ROUND(((E13-Q$7)/Q$8)*Q$18+Q$17,1))</f>
        <v>11.4</v>
      </c>
      <c r="G13" s="13" t="n">
        <v>8</v>
      </c>
      <c r="H13" s="6" t="n">
        <f aca="false">IF(G13="","",ROUND(((G13-Q$9)/Q$10)*Q$18+Q$17,1))</f>
        <v>4</v>
      </c>
      <c r="I13" s="13" t="n">
        <v>12</v>
      </c>
      <c r="J13" s="6" t="n">
        <f aca="false">IF(I13="","",ROUND(((I13-Q$11)/Q$12)*Q$18+Q$17,1))</f>
        <v>13.4</v>
      </c>
      <c r="K13" s="13" t="n">
        <v>981</v>
      </c>
      <c r="L13" s="6" t="n">
        <f aca="false">IF(K13="","",ROUND(((K13-Q$13)/Q$14)*Q$18+Q$17,1))</f>
        <v>14.1</v>
      </c>
      <c r="M13" s="13" t="n">
        <v>22</v>
      </c>
      <c r="N13" s="6" t="n">
        <f aca="false">IF(M13="","",ROUND(((M13-Q$15)/Q$16)*Q$18+Q$17,1))</f>
        <v>17.1</v>
      </c>
      <c r="O13" s="12"/>
      <c r="P13" s="9" t="s">
        <v>44</v>
      </c>
      <c r="Q13" s="15" t="n">
        <f aca="false">IFERROR(AVERAGE(K6:K400),"")</f>
        <v>698.555555555556</v>
      </c>
      <c r="T13" s="5" t="s">
        <v>29</v>
      </c>
      <c r="U13" s="5" t="s">
        <v>43</v>
      </c>
      <c r="V13" s="6" t="n">
        <f aca="false">IFERROR(ROUND(MAX(0,AVERAGE(Y13,AA13,AC13,AE13)),1),"")</f>
        <v>49.5</v>
      </c>
      <c r="W13" s="7" t="n">
        <f aca="false">COUNT(X13,Z13,AB13,AD13)</f>
        <v>4</v>
      </c>
      <c r="X13" s="13" t="n">
        <v>50</v>
      </c>
      <c r="Y13" s="6" t="n">
        <f aca="false">IF(X13="","",ROUND(((X13-AJ$7)/AJ$8)*AJ$16+AJ$15,1))</f>
        <v>48.1</v>
      </c>
      <c r="Z13" s="13" t="n">
        <v>22</v>
      </c>
      <c r="AA13" s="6" t="n">
        <f aca="false">IF(Z13="","",ROUND(((Z13-AJ$9)/AJ$10)*AJ$16+AJ$15,1))</f>
        <v>47.8</v>
      </c>
      <c r="AB13" s="13" t="n">
        <v>51.8</v>
      </c>
      <c r="AC13" s="6" t="n">
        <f aca="false">IF(AB13="","",ROUND(((AB13-AJ$11)/AJ$12)*AJ$16+AJ$15,1))</f>
        <v>48.8</v>
      </c>
      <c r="AD13" s="13" t="n">
        <v>59</v>
      </c>
      <c r="AE13" s="6" t="n">
        <f aca="false">IF(AD13="","",ROUND(((AD13-AJ$13)/AJ$14)*AJ$16+AJ$15,1))</f>
        <v>53.2</v>
      </c>
      <c r="AF13" s="14"/>
      <c r="AG13" s="14"/>
      <c r="AH13" s="12"/>
      <c r="AI13" s="9" t="s">
        <v>45</v>
      </c>
      <c r="AJ13" s="15" t="n">
        <f aca="false">IFERROR(AVERAGE(AD6:AD400),"")</f>
        <v>49.25</v>
      </c>
    </row>
    <row r="14" customFormat="false" ht="15" hidden="false" customHeight="true" outlineLevel="0" collapsed="false">
      <c r="A14" s="5" t="s">
        <v>29</v>
      </c>
      <c r="B14" s="5" t="s">
        <v>46</v>
      </c>
      <c r="C14" s="6" t="n">
        <f aca="false">IFERROR(ROUND(MAX(0,AVERAGE(F14,H14,J14,L14,N14)),1),"")</f>
        <v>11.5</v>
      </c>
      <c r="D14" s="7" t="n">
        <f aca="false">COUNT(E14,G14,I14,K14,M14)</f>
        <v>5</v>
      </c>
      <c r="E14" s="13" t="n">
        <v>13</v>
      </c>
      <c r="F14" s="6" t="n">
        <f aca="false">IF(E14="","",ROUND(((E14-Q$7)/Q$8)*Q$18+Q$17,1))</f>
        <v>15.8</v>
      </c>
      <c r="G14" s="13" t="n">
        <v>10</v>
      </c>
      <c r="H14" s="6" t="n">
        <f aca="false">IF(G14="","",ROUND(((G14-Q$9)/Q$10)*Q$18+Q$17,1))</f>
        <v>8</v>
      </c>
      <c r="I14" s="13" t="n">
        <v>8</v>
      </c>
      <c r="J14" s="6" t="n">
        <f aca="false">IF(I14="","",ROUND(((I14-Q$11)/Q$12)*Q$18+Q$17,1))</f>
        <v>9.7</v>
      </c>
      <c r="K14" s="13" t="n">
        <v>667</v>
      </c>
      <c r="L14" s="6" t="n">
        <f aca="false">IF(K14="","",ROUND(((K14-Q$13)/Q$14)*Q$18+Q$17,1))</f>
        <v>7.8</v>
      </c>
      <c r="M14" s="13" t="n">
        <v>21</v>
      </c>
      <c r="N14" s="6" t="n">
        <f aca="false">IF(M14="","",ROUND(((M14-Q$15)/Q$16)*Q$18+Q$17,1))</f>
        <v>16.3</v>
      </c>
      <c r="O14" s="12"/>
      <c r="P14" s="9" t="s">
        <v>47</v>
      </c>
      <c r="Q14" s="16" t="n">
        <f aca="false">IFERROR(STDEVP(K6:K400),"")</f>
        <v>411.806439009733</v>
      </c>
      <c r="T14" s="5" t="s">
        <v>29</v>
      </c>
      <c r="U14" s="5" t="s">
        <v>46</v>
      </c>
      <c r="V14" s="6" t="n">
        <f aca="false">IFERROR(ROUND(MAX(0,AVERAGE(Y14,AA14,AC14,AE14)),1),"")</f>
        <v>50.7</v>
      </c>
      <c r="W14" s="7" t="n">
        <f aca="false">COUNT(X14,Z14,AB14,AD14)</f>
        <v>4</v>
      </c>
      <c r="X14" s="13" t="n">
        <v>57</v>
      </c>
      <c r="Y14" s="6" t="n">
        <f aca="false">IF(X14="","",ROUND(((X14-AJ$7)/AJ$8)*AJ$16+AJ$15,1))</f>
        <v>53</v>
      </c>
      <c r="Z14" s="13" t="n">
        <v>24</v>
      </c>
      <c r="AA14" s="6" t="n">
        <f aca="false">IF(Z14="","",ROUND(((Z14-AJ$9)/AJ$10)*AJ$16+AJ$15,1))</f>
        <v>50.3</v>
      </c>
      <c r="AB14" s="13" t="n">
        <v>50.5</v>
      </c>
      <c r="AC14" s="6" t="n">
        <f aca="false">IF(AB14="","",ROUND(((AB14-AJ$11)/AJ$12)*AJ$16+AJ$15,1))</f>
        <v>47.7</v>
      </c>
      <c r="AD14" s="13" t="n">
        <v>58</v>
      </c>
      <c r="AE14" s="6" t="n">
        <f aca="false">IF(AD14="","",ROUND(((AD14-AJ$13)/AJ$14)*AJ$16+AJ$15,1))</f>
        <v>51.9</v>
      </c>
      <c r="AF14" s="14"/>
      <c r="AG14" s="14"/>
      <c r="AH14" s="12"/>
      <c r="AI14" s="9" t="s">
        <v>48</v>
      </c>
      <c r="AJ14" s="16" t="n">
        <f aca="false">IFERROR(STDEVP(AD6:AD400),"")</f>
        <v>9.40412143690201</v>
      </c>
    </row>
    <row r="15" customFormat="false" ht="15" hidden="false" customHeight="true" outlineLevel="0" collapsed="false">
      <c r="A15" s="5" t="s">
        <v>29</v>
      </c>
      <c r="B15" s="5" t="s">
        <v>49</v>
      </c>
      <c r="C15" s="6" t="n">
        <f aca="false">IFERROR(ROUND(MAX(0,AVERAGE(F15,H15,J15,L15,N15)),1),"")</f>
        <v>11</v>
      </c>
      <c r="D15" s="7" t="n">
        <f aca="false">COUNT(E15,G15,I15,K15,M15)</f>
        <v>5</v>
      </c>
      <c r="E15" s="13" t="n">
        <v>9</v>
      </c>
      <c r="F15" s="6" t="n">
        <f aca="false">IF(E15="","",ROUND(((E15-Q$7)/Q$8)*Q$18+Q$17,1))</f>
        <v>11.4</v>
      </c>
      <c r="G15" s="13" t="n">
        <v>10</v>
      </c>
      <c r="H15" s="6" t="n">
        <f aca="false">IF(G15="","",ROUND(((G15-Q$9)/Q$10)*Q$18+Q$17,1))</f>
        <v>8</v>
      </c>
      <c r="I15" s="13" t="n">
        <v>9.2</v>
      </c>
      <c r="J15" s="6" t="n">
        <f aca="false">IF(I15="","",ROUND(((I15-Q$11)/Q$12)*Q$18+Q$17,1))</f>
        <v>10.8</v>
      </c>
      <c r="K15" s="13" t="n">
        <v>879</v>
      </c>
      <c r="L15" s="6" t="n">
        <f aca="false">IF(K15="","",ROUND(((K15-Q$13)/Q$14)*Q$18+Q$17,1))</f>
        <v>12</v>
      </c>
      <c r="M15" s="13" t="n">
        <v>17</v>
      </c>
      <c r="N15" s="6" t="n">
        <f aca="false">IF(M15="","",ROUND(((M15-Q$15)/Q$16)*Q$18+Q$17,1))</f>
        <v>13</v>
      </c>
      <c r="O15" s="12"/>
      <c r="P15" s="9" t="s">
        <v>45</v>
      </c>
      <c r="Q15" s="15" t="n">
        <f aca="false">IFERROR(AVERAGE(M6:M400),"")</f>
        <v>11.40625</v>
      </c>
      <c r="T15" s="5" t="s">
        <v>29</v>
      </c>
      <c r="U15" s="5" t="s">
        <v>49</v>
      </c>
      <c r="V15" s="6" t="n">
        <f aca="false">IFERROR(ROUND(MAX(0,AVERAGE(Y15,AA15,AC15,AE15)),1),"")</f>
        <v>48.9</v>
      </c>
      <c r="W15" s="7" t="n">
        <f aca="false">COUNT(X15,Z15,AB15,AD15)</f>
        <v>4</v>
      </c>
      <c r="X15" s="13" t="n">
        <v>50</v>
      </c>
      <c r="Y15" s="6" t="n">
        <f aca="false">IF(X15="","",ROUND(((X15-AJ$7)/AJ$8)*AJ$16+AJ$15,1))</f>
        <v>48.1</v>
      </c>
      <c r="Z15" s="13" t="n">
        <v>26</v>
      </c>
      <c r="AA15" s="6" t="n">
        <f aca="false">IF(Z15="","",ROUND(((Z15-AJ$9)/AJ$10)*AJ$16+AJ$15,1))</f>
        <v>52.8</v>
      </c>
      <c r="AB15" s="13" t="n">
        <v>50.7</v>
      </c>
      <c r="AC15" s="6" t="n">
        <f aca="false">IF(AB15="","",ROUND(((AB15-AJ$11)/AJ$12)*AJ$16+AJ$15,1))</f>
        <v>47.9</v>
      </c>
      <c r="AD15" s="13" t="n">
        <v>54</v>
      </c>
      <c r="AE15" s="6" t="n">
        <f aca="false">IF(AD15="","",ROUND(((AD15-AJ$13)/AJ$14)*AJ$16+AJ$15,1))</f>
        <v>46.8</v>
      </c>
      <c r="AF15" s="14"/>
      <c r="AG15" s="14"/>
      <c r="AH15" s="12"/>
      <c r="AI15" s="9" t="s">
        <v>50</v>
      </c>
      <c r="AJ15" s="15" t="n">
        <f aca="false">MEDIAN(AJ$7,AJ$9,AJ$11,AJ$13)</f>
        <v>40.6390625</v>
      </c>
    </row>
    <row r="16" customFormat="false" ht="15" hidden="false" customHeight="true" outlineLevel="0" collapsed="false">
      <c r="A16" s="5" t="s">
        <v>29</v>
      </c>
      <c r="B16" s="5" t="s">
        <v>51</v>
      </c>
      <c r="C16" s="6" t="n">
        <f aca="false">IFERROR(ROUND(MAX(0,AVERAGE(F16,H16,J16,L16,N16)),1),"")</f>
        <v>8.9</v>
      </c>
      <c r="D16" s="7" t="n">
        <f aca="false">COUNT(E16,G16,I16,K16,M16)</f>
        <v>5</v>
      </c>
      <c r="E16" s="13" t="n">
        <v>10</v>
      </c>
      <c r="F16" s="6" t="n">
        <f aca="false">IF(E16="","",ROUND(((E16-Q$7)/Q$8)*Q$18+Q$17,1))</f>
        <v>12.5</v>
      </c>
      <c r="G16" s="13" t="n">
        <v>5</v>
      </c>
      <c r="H16" s="6" t="n">
        <f aca="false">IF(G16="","",ROUND(((G16-Q$9)/Q$10)*Q$18+Q$17,1))</f>
        <v>-2</v>
      </c>
      <c r="I16" s="13" t="n">
        <v>7.6</v>
      </c>
      <c r="J16" s="6" t="n">
        <f aca="false">IF(I16="","",ROUND(((I16-Q$11)/Q$12)*Q$18+Q$17,1))</f>
        <v>9.3</v>
      </c>
      <c r="K16" s="13" t="n">
        <v>705</v>
      </c>
      <c r="L16" s="6" t="n">
        <f aca="false">IF(K16="","",ROUND(((K16-Q$13)/Q$14)*Q$18+Q$17,1))</f>
        <v>8.6</v>
      </c>
      <c r="M16" s="13" t="n">
        <v>21</v>
      </c>
      <c r="N16" s="6" t="n">
        <f aca="false">IF(M16="","",ROUND(((M16-Q$15)/Q$16)*Q$18+Q$17,1))</f>
        <v>16.3</v>
      </c>
      <c r="O16" s="12"/>
      <c r="P16" s="9" t="s">
        <v>48</v>
      </c>
      <c r="Q16" s="16" t="n">
        <f aca="false">IFERROR(STDEVP(M6:M400),"")</f>
        <v>10.0525474849662</v>
      </c>
      <c r="T16" s="5" t="s">
        <v>29</v>
      </c>
      <c r="U16" s="5" t="s">
        <v>51</v>
      </c>
      <c r="V16" s="6" t="n">
        <f aca="false">IFERROR(ROUND(MAX(0,AVERAGE(Y16,AA16,AC16,AE16)),1),"")</f>
        <v>47.2</v>
      </c>
      <c r="W16" s="7" t="n">
        <f aca="false">COUNT(X16,Z16,AB16,AD16)</f>
        <v>4</v>
      </c>
      <c r="X16" s="13" t="n">
        <v>52</v>
      </c>
      <c r="Y16" s="6" t="n">
        <f aca="false">IF(X16="","",ROUND(((X16-AJ$7)/AJ$8)*AJ$16+AJ$15,1))</f>
        <v>49.5</v>
      </c>
      <c r="Z16" s="13" t="n">
        <v>16</v>
      </c>
      <c r="AA16" s="6" t="n">
        <f aca="false">IF(Z16="","",ROUND(((Z16-AJ$9)/AJ$10)*AJ$16+AJ$15,1))</f>
        <v>40.2</v>
      </c>
      <c r="AB16" s="13" t="n">
        <v>49.7</v>
      </c>
      <c r="AC16" s="6" t="n">
        <f aca="false">IF(AB16="","",ROUND(((AB16-AJ$11)/AJ$12)*AJ$16+AJ$15,1))</f>
        <v>47.1</v>
      </c>
      <c r="AD16" s="13" t="n">
        <v>58</v>
      </c>
      <c r="AE16" s="6" t="n">
        <f aca="false">IF(AD16="","",ROUND(((AD16-AJ$13)/AJ$14)*AJ$16+AJ$15,1))</f>
        <v>51.9</v>
      </c>
      <c r="AF16" s="14"/>
      <c r="AG16" s="14"/>
      <c r="AH16" s="12"/>
      <c r="AI16" s="9" t="s">
        <v>52</v>
      </c>
      <c r="AJ16" s="16" t="n">
        <f aca="false">MEDIAN(AJ$8,AJ$10,AJ$12,AJ$14)</f>
        <v>12.1192787248463</v>
      </c>
    </row>
    <row r="17" customFormat="false" ht="15" hidden="false" customHeight="true" outlineLevel="0" collapsed="false">
      <c r="A17" s="5" t="s">
        <v>29</v>
      </c>
      <c r="B17" s="5" t="s">
        <v>53</v>
      </c>
      <c r="C17" s="6" t="n">
        <f aca="false">IFERROR(ROUND(MAX(0,AVERAGE(F17,H17,J17,L17,N17)),1),"")</f>
        <v>8.2</v>
      </c>
      <c r="D17" s="7" t="n">
        <f aca="false">COUNT(E17,G17,I17,K17,M17)</f>
        <v>5</v>
      </c>
      <c r="E17" s="13" t="n">
        <v>7</v>
      </c>
      <c r="F17" s="6" t="n">
        <f aca="false">IF(E17="","",ROUND(((E17-Q$7)/Q$8)*Q$18+Q$17,1))</f>
        <v>9.3</v>
      </c>
      <c r="G17" s="13" t="n">
        <v>7</v>
      </c>
      <c r="H17" s="6" t="n">
        <f aca="false">IF(G17="","",ROUND(((G17-Q$9)/Q$10)*Q$18+Q$17,1))</f>
        <v>2</v>
      </c>
      <c r="I17" s="13" t="n">
        <v>3.6</v>
      </c>
      <c r="J17" s="6" t="n">
        <f aca="false">IF(I17="","",ROUND(((I17-Q$11)/Q$12)*Q$18+Q$17,1))</f>
        <v>5.6</v>
      </c>
      <c r="K17" s="13" t="n">
        <v>867</v>
      </c>
      <c r="L17" s="6" t="n">
        <f aca="false">IF(K17="","",ROUND(((K17-Q$13)/Q$14)*Q$18+Q$17,1))</f>
        <v>11.8</v>
      </c>
      <c r="M17" s="13" t="n">
        <v>16</v>
      </c>
      <c r="N17" s="6" t="n">
        <f aca="false">IF(M17="","",ROUND(((M17-Q$15)/Q$16)*Q$18+Q$17,1))</f>
        <v>12.2</v>
      </c>
      <c r="O17" s="12"/>
      <c r="P17" s="9" t="s">
        <v>50</v>
      </c>
      <c r="Q17" s="15" t="n">
        <f aca="false">MEDIAN(Q$7,Q$9,Q$11,Q$15)</f>
        <v>8.44620535714286</v>
      </c>
      <c r="T17" s="5" t="s">
        <v>29</v>
      </c>
      <c r="U17" s="5" t="s">
        <v>53</v>
      </c>
      <c r="V17" s="6" t="n">
        <f aca="false">IFERROR(ROUND(MAX(0,AVERAGE(Y17,AA17,AC17,AE17)),1),"")</f>
        <v>45.2</v>
      </c>
      <c r="W17" s="7" t="n">
        <f aca="false">COUNT(X17,Z17,AB17,AD17)</f>
        <v>4</v>
      </c>
      <c r="X17" s="13" t="n">
        <v>47</v>
      </c>
      <c r="Y17" s="6" t="n">
        <f aca="false">IF(X17="","",ROUND(((X17-AJ$7)/AJ$8)*AJ$16+AJ$15,1))</f>
        <v>46</v>
      </c>
      <c r="Z17" s="13" t="n">
        <v>18</v>
      </c>
      <c r="AA17" s="6" t="n">
        <f aca="false">IF(Z17="","",ROUND(((Z17-AJ$9)/AJ$10)*AJ$16+AJ$15,1))</f>
        <v>42.8</v>
      </c>
      <c r="AB17" s="13" t="n">
        <v>48.9</v>
      </c>
      <c r="AC17" s="6" t="n">
        <f aca="false">IF(AB17="","",ROUND(((AB17-AJ$11)/AJ$12)*AJ$16+AJ$15,1))</f>
        <v>46.4</v>
      </c>
      <c r="AD17" s="13" t="n">
        <v>53</v>
      </c>
      <c r="AE17" s="6" t="n">
        <f aca="false">IF(AD17="","",ROUND(((AD17-AJ$13)/AJ$14)*AJ$16+AJ$15,1))</f>
        <v>45.5</v>
      </c>
      <c r="AF17" s="14"/>
      <c r="AG17" s="14"/>
      <c r="AH17" s="12"/>
    </row>
    <row r="18" customFormat="false" ht="15" hidden="false" customHeight="true" outlineLevel="0" collapsed="false">
      <c r="A18" s="5" t="s">
        <v>29</v>
      </c>
      <c r="B18" s="5" t="s">
        <v>54</v>
      </c>
      <c r="C18" s="6" t="n">
        <f aca="false">IFERROR(ROUND(MAX(0,AVERAGE(F18,H18,J18,L18,N18)),1),"")</f>
        <v>7.6</v>
      </c>
      <c r="D18" s="7" t="n">
        <f aca="false">COUNT(E18,G18,I18,K18,M18)</f>
        <v>4</v>
      </c>
      <c r="E18" s="13" t="n">
        <v>5</v>
      </c>
      <c r="F18" s="6" t="n">
        <f aca="false">IF(E18="","",ROUND(((E18-Q$7)/Q$8)*Q$18+Q$17,1))</f>
        <v>7.1</v>
      </c>
      <c r="G18" s="13"/>
      <c r="H18" s="6" t="str">
        <f aca="false">IF(G18="","",ROUND(((G18-Q$9)/Q$10)*Q$18+Q$17,1))</f>
        <v/>
      </c>
      <c r="I18" s="13" t="n">
        <v>5.6</v>
      </c>
      <c r="J18" s="6" t="n">
        <f aca="false">IF(I18="","",ROUND(((I18-Q$11)/Q$12)*Q$18+Q$17,1))</f>
        <v>7.4</v>
      </c>
      <c r="K18" s="13" t="n">
        <v>659</v>
      </c>
      <c r="L18" s="6" t="n">
        <f aca="false">IF(K18="","",ROUND(((K18-Q$13)/Q$14)*Q$18+Q$17,1))</f>
        <v>7.7</v>
      </c>
      <c r="M18" s="13" t="n">
        <v>11</v>
      </c>
      <c r="N18" s="6" t="n">
        <f aca="false">IF(M18="","",ROUND(((M18-Q$15)/Q$16)*Q$18+Q$17,1))</f>
        <v>8.1</v>
      </c>
      <c r="O18" s="12"/>
      <c r="P18" s="9" t="s">
        <v>52</v>
      </c>
      <c r="Q18" s="16" t="n">
        <f aca="false">MEDIAN(Q$8,Q$10,Q$12,Q$16)</f>
        <v>8.19276825365068</v>
      </c>
      <c r="T18" s="5" t="s">
        <v>29</v>
      </c>
      <c r="U18" s="5" t="s">
        <v>54</v>
      </c>
      <c r="V18" s="6" t="n">
        <f aca="false">IFERROR(ROUND(MAX(0,AVERAGE(Y18,AA18,AC18,AE18)),1),"")</f>
        <v>41.3</v>
      </c>
      <c r="W18" s="7" t="n">
        <f aca="false">COUNT(X18,Z18,AB18,AD18)</f>
        <v>4</v>
      </c>
      <c r="X18" s="13" t="n">
        <v>44</v>
      </c>
      <c r="Y18" s="6" t="n">
        <f aca="false">IF(X18="","",ROUND(((X18-AJ$7)/AJ$8)*AJ$16+AJ$15,1))</f>
        <v>43.9</v>
      </c>
      <c r="Z18" s="13" t="n">
        <v>11</v>
      </c>
      <c r="AA18" s="6" t="n">
        <f aca="false">IF(Z18="","",ROUND(((Z18-AJ$9)/AJ$10)*AJ$16+AJ$15,1))</f>
        <v>34</v>
      </c>
      <c r="AB18" s="13" t="n">
        <v>49.4</v>
      </c>
      <c r="AC18" s="6" t="n">
        <f aca="false">IF(AB18="","",ROUND(((AB18-AJ$11)/AJ$12)*AJ$16+AJ$15,1))</f>
        <v>46.8</v>
      </c>
      <c r="AD18" s="13" t="n">
        <v>49</v>
      </c>
      <c r="AE18" s="6" t="n">
        <f aca="false">IF(AD18="","",ROUND(((AD18-AJ$13)/AJ$14)*AJ$16+AJ$15,1))</f>
        <v>40.3</v>
      </c>
      <c r="AF18" s="14"/>
      <c r="AG18" s="14"/>
      <c r="AH18" s="12"/>
    </row>
    <row r="19" customFormat="false" ht="15" hidden="false" customHeight="true" outlineLevel="0" collapsed="false">
      <c r="A19" s="5" t="s">
        <v>29</v>
      </c>
      <c r="B19" s="5" t="s">
        <v>55</v>
      </c>
      <c r="C19" s="6" t="n">
        <f aca="false">IFERROR(ROUND(MAX(0,AVERAGE(F19,H19,J19,L19,N19)),1),"")</f>
        <v>7.6</v>
      </c>
      <c r="D19" s="7" t="n">
        <f aca="false">COUNT(E19,G19,I19,K19,M19)</f>
        <v>4</v>
      </c>
      <c r="E19" s="13" t="n">
        <v>6</v>
      </c>
      <c r="F19" s="6" t="n">
        <f aca="false">IF(E19="","",ROUND(((E19-Q$7)/Q$8)*Q$18+Q$17,1))</f>
        <v>8.2</v>
      </c>
      <c r="G19" s="13"/>
      <c r="H19" s="6" t="str">
        <f aca="false">IF(G19="","",ROUND(((G19-Q$9)/Q$10)*Q$18+Q$17,1))</f>
        <v/>
      </c>
      <c r="I19" s="13" t="n">
        <v>1</v>
      </c>
      <c r="J19" s="6" t="n">
        <f aca="false">IF(I19="","",ROUND(((I19-Q$11)/Q$12)*Q$18+Q$17,1))</f>
        <v>3.2</v>
      </c>
      <c r="K19" s="13" t="n">
        <v>690</v>
      </c>
      <c r="L19" s="6" t="n">
        <f aca="false">IF(K19="","",ROUND(((K19-Q$13)/Q$14)*Q$18+Q$17,1))</f>
        <v>8.3</v>
      </c>
      <c r="M19" s="13" t="n">
        <v>14</v>
      </c>
      <c r="N19" s="6" t="n">
        <f aca="false">IF(M19="","",ROUND(((M19-Q$15)/Q$16)*Q$18+Q$17,1))</f>
        <v>10.6</v>
      </c>
      <c r="O19" s="12"/>
      <c r="T19" s="5" t="s">
        <v>29</v>
      </c>
      <c r="U19" s="5" t="s">
        <v>55</v>
      </c>
      <c r="V19" s="6" t="n">
        <f aca="false">IFERROR(ROUND(MAX(0,AVERAGE(Y19,AA19,AC19,AE19)),1),"")</f>
        <v>41.5</v>
      </c>
      <c r="W19" s="7" t="n">
        <f aca="false">COUNT(X19,Z19,AB19,AD19)</f>
        <v>4</v>
      </c>
      <c r="X19" s="13" t="n">
        <v>45</v>
      </c>
      <c r="Y19" s="6" t="n">
        <f aca="false">IF(X19="","",ROUND(((X19-AJ$7)/AJ$8)*AJ$16+AJ$15,1))</f>
        <v>44.6</v>
      </c>
      <c r="Z19" s="13" t="n">
        <v>11</v>
      </c>
      <c r="AA19" s="6" t="n">
        <f aca="false">IF(Z19="","",ROUND(((Z19-AJ$9)/AJ$10)*AJ$16+AJ$15,1))</f>
        <v>34</v>
      </c>
      <c r="AB19" s="13" t="n">
        <v>46.5</v>
      </c>
      <c r="AC19" s="6" t="n">
        <f aca="false">IF(AB19="","",ROUND(((AB19-AJ$11)/AJ$12)*AJ$16+AJ$15,1))</f>
        <v>44.4</v>
      </c>
      <c r="AD19" s="13" t="n">
        <v>51</v>
      </c>
      <c r="AE19" s="6" t="n">
        <f aca="false">IF(AD19="","",ROUND(((AD19-AJ$13)/AJ$14)*AJ$16+AJ$15,1))</f>
        <v>42.9</v>
      </c>
      <c r="AF19" s="14"/>
      <c r="AG19" s="14"/>
      <c r="AH19" s="12"/>
    </row>
    <row r="20" customFormat="false" ht="15" hidden="false" customHeight="true" outlineLevel="0" collapsed="false">
      <c r="A20" s="5" t="s">
        <v>29</v>
      </c>
      <c r="B20" s="5" t="s">
        <v>56</v>
      </c>
      <c r="C20" s="6" t="n">
        <f aca="false">IFERROR(ROUND(MAX(0,AVERAGE(F20,H20,J20,L20,N20)),1),"")</f>
        <v>7</v>
      </c>
      <c r="D20" s="7" t="n">
        <f aca="false">COUNT(E20,G20,I20,K20,M20)</f>
        <v>5</v>
      </c>
      <c r="E20" s="13" t="n">
        <v>6</v>
      </c>
      <c r="F20" s="6" t="n">
        <f aca="false">IF(E20="","",ROUND(((E20-Q$7)/Q$8)*Q$18+Q$17,1))</f>
        <v>8.2</v>
      </c>
      <c r="G20" s="13" t="n">
        <v>8</v>
      </c>
      <c r="H20" s="6" t="n">
        <f aca="false">IF(G20="","",ROUND(((G20-Q$9)/Q$10)*Q$18+Q$17,1))</f>
        <v>4</v>
      </c>
      <c r="I20" s="13" t="n">
        <v>1</v>
      </c>
      <c r="J20" s="6" t="n">
        <f aca="false">IF(I20="","",ROUND(((I20-Q$11)/Q$12)*Q$18+Q$17,1))</f>
        <v>3.2</v>
      </c>
      <c r="K20" s="13" t="n">
        <v>697</v>
      </c>
      <c r="L20" s="6" t="n">
        <f aca="false">IF(K20="","",ROUND(((K20-Q$13)/Q$14)*Q$18+Q$17,1))</f>
        <v>8.4</v>
      </c>
      <c r="M20" s="13" t="n">
        <v>15</v>
      </c>
      <c r="N20" s="6" t="n">
        <f aca="false">IF(M20="","",ROUND(((M20-Q$15)/Q$16)*Q$18+Q$17,1))</f>
        <v>11.4</v>
      </c>
      <c r="O20" s="12"/>
      <c r="T20" s="5" t="s">
        <v>29</v>
      </c>
      <c r="U20" s="5" t="s">
        <v>56</v>
      </c>
      <c r="V20" s="6" t="n">
        <f aca="false">IFERROR(ROUND(MAX(0,AVERAGE(Y20,AA20,AC20,AE20)),1),"")</f>
        <v>44.7</v>
      </c>
      <c r="W20" s="7" t="n">
        <f aca="false">COUNT(X20,Z20,AB20,AD20)</f>
        <v>4</v>
      </c>
      <c r="X20" s="13" t="n">
        <v>45</v>
      </c>
      <c r="Y20" s="6" t="n">
        <f aca="false">IF(X20="","",ROUND(((X20-AJ$7)/AJ$8)*AJ$16+AJ$15,1))</f>
        <v>44.6</v>
      </c>
      <c r="Z20" s="13" t="n">
        <v>20</v>
      </c>
      <c r="AA20" s="6" t="n">
        <f aca="false">IF(Z20="","",ROUND(((Z20-AJ$9)/AJ$10)*AJ$16+AJ$15,1))</f>
        <v>45.3</v>
      </c>
      <c r="AB20" s="13" t="n">
        <v>46.8</v>
      </c>
      <c r="AC20" s="6" t="n">
        <f aca="false">IF(AB20="","",ROUND(((AB20-AJ$11)/AJ$12)*AJ$16+AJ$15,1))</f>
        <v>44.7</v>
      </c>
      <c r="AD20" s="13" t="n">
        <v>52</v>
      </c>
      <c r="AE20" s="6" t="n">
        <f aca="false">IF(AD20="","",ROUND(((AD20-AJ$13)/AJ$14)*AJ$16+AJ$15,1))</f>
        <v>44.2</v>
      </c>
      <c r="AF20" s="14"/>
      <c r="AG20" s="14"/>
      <c r="AH20" s="12"/>
    </row>
    <row r="21" customFormat="false" ht="15" hidden="false" customHeight="true" outlineLevel="0" collapsed="false">
      <c r="A21" s="5" t="s">
        <v>29</v>
      </c>
      <c r="B21" s="5" t="s">
        <v>57</v>
      </c>
      <c r="C21" s="6" t="n">
        <f aca="false">IFERROR(ROUND(MAX(0,AVERAGE(F21,H21,J21,L21,N21)),1),"")</f>
        <v>4.5</v>
      </c>
      <c r="D21" s="7" t="n">
        <f aca="false">COUNT(E21,G21,I21,K21,M21)</f>
        <v>5</v>
      </c>
      <c r="E21" s="13" t="n">
        <v>3</v>
      </c>
      <c r="F21" s="6" t="n">
        <f aca="false">IF(E21="","",ROUND(((E21-Q$7)/Q$8)*Q$18+Q$17,1))</f>
        <v>4.9</v>
      </c>
      <c r="G21" s="13" t="n">
        <v>5</v>
      </c>
      <c r="H21" s="6" t="n">
        <f aca="false">IF(G21="","",ROUND(((G21-Q$9)/Q$10)*Q$18+Q$17,1))</f>
        <v>-2</v>
      </c>
      <c r="I21" s="13" t="n">
        <v>1</v>
      </c>
      <c r="J21" s="6" t="n">
        <f aca="false">IF(I21="","",ROUND(((I21-Q$11)/Q$12)*Q$18+Q$17,1))</f>
        <v>3.2</v>
      </c>
      <c r="K21" s="13" t="n">
        <v>682</v>
      </c>
      <c r="L21" s="6" t="n">
        <f aca="false">IF(K21="","",ROUND(((K21-Q$13)/Q$14)*Q$18+Q$17,1))</f>
        <v>8.1</v>
      </c>
      <c r="M21" s="13" t="n">
        <v>11</v>
      </c>
      <c r="N21" s="6" t="n">
        <f aca="false">IF(M21="","",ROUND(((M21-Q$15)/Q$16)*Q$18+Q$17,1))</f>
        <v>8.1</v>
      </c>
      <c r="O21" s="12"/>
      <c r="T21" s="5" t="s">
        <v>29</v>
      </c>
      <c r="U21" s="5" t="s">
        <v>57</v>
      </c>
      <c r="V21" s="6" t="n">
        <f aca="false">IFERROR(ROUND(MAX(0,AVERAGE(Y21,AA21,AC21,AE21)),1),"")</f>
        <v>40.9</v>
      </c>
      <c r="W21" s="7" t="n">
        <f aca="false">COUNT(X21,Z21,AB21,AD21)</f>
        <v>4</v>
      </c>
      <c r="X21" s="13" t="n">
        <v>38</v>
      </c>
      <c r="Y21" s="6" t="n">
        <f aca="false">IF(X21="","",ROUND(((X21-AJ$7)/AJ$8)*AJ$16+AJ$15,1))</f>
        <v>39.7</v>
      </c>
      <c r="Z21" s="13" t="n">
        <v>14</v>
      </c>
      <c r="AA21" s="6" t="n">
        <f aca="false">IF(Z21="","",ROUND(((Z21-AJ$9)/AJ$10)*AJ$16+AJ$15,1))</f>
        <v>37.7</v>
      </c>
      <c r="AB21" s="13" t="n">
        <v>48.4</v>
      </c>
      <c r="AC21" s="6" t="n">
        <f aca="false">IF(AB21="","",ROUND(((AB21-AJ$11)/AJ$12)*AJ$16+AJ$15,1))</f>
        <v>46</v>
      </c>
      <c r="AD21" s="13" t="n">
        <v>49</v>
      </c>
      <c r="AE21" s="6" t="n">
        <f aca="false">IF(AD21="","",ROUND(((AD21-AJ$13)/AJ$14)*AJ$16+AJ$15,1))</f>
        <v>40.3</v>
      </c>
      <c r="AF21" s="14"/>
      <c r="AG21" s="14"/>
      <c r="AH21" s="12"/>
    </row>
    <row r="22" customFormat="false" ht="15" hidden="false" customHeight="true" outlineLevel="0" collapsed="false">
      <c r="A22" s="5" t="s">
        <v>29</v>
      </c>
      <c r="B22" s="5" t="s">
        <v>58</v>
      </c>
      <c r="C22" s="6" t="n">
        <f aca="false">IFERROR(ROUND(MAX(0,AVERAGE(F22,H22,J22,L22,N22)),1),"")</f>
        <v>3.5</v>
      </c>
      <c r="D22" s="7" t="n">
        <f aca="false">COUNT(E22,G22,I22,K22,M22)</f>
        <v>4</v>
      </c>
      <c r="E22" s="13" t="n">
        <v>2</v>
      </c>
      <c r="F22" s="6" t="n">
        <f aca="false">IF(E22="","",ROUND(((E22-Q$7)/Q$8)*Q$18+Q$17,1))</f>
        <v>3.8</v>
      </c>
      <c r="G22" s="13"/>
      <c r="H22" s="6" t="str">
        <f aca="false">IF(G22="","",ROUND(((G22-Q$9)/Q$10)*Q$18+Q$17,1))</f>
        <v/>
      </c>
      <c r="I22" s="13" t="n">
        <v>1</v>
      </c>
      <c r="J22" s="6" t="n">
        <f aca="false">IF(I22="","",ROUND(((I22-Q$11)/Q$12)*Q$18+Q$17,1))</f>
        <v>3.2</v>
      </c>
      <c r="K22" s="13" t="n">
        <v>417</v>
      </c>
      <c r="L22" s="6" t="n">
        <f aca="false">IF(K22="","",ROUND(((K22-Q$13)/Q$14)*Q$18+Q$17,1))</f>
        <v>2.8</v>
      </c>
      <c r="M22" s="13" t="n">
        <v>6</v>
      </c>
      <c r="N22" s="6" t="n">
        <f aca="false">IF(M22="","",ROUND(((M22-Q$15)/Q$16)*Q$18+Q$17,1))</f>
        <v>4</v>
      </c>
      <c r="O22" s="12"/>
      <c r="T22" s="5" t="s">
        <v>29</v>
      </c>
      <c r="U22" s="5" t="s">
        <v>58</v>
      </c>
      <c r="V22" s="6" t="n">
        <f aca="false">IFERROR(ROUND(MAX(0,AVERAGE(Y22,AA22,AC22,AE22)),1),"")</f>
        <v>34.6</v>
      </c>
      <c r="W22" s="7" t="n">
        <f aca="false">COUNT(X22,Z22,AB22,AD22)</f>
        <v>4</v>
      </c>
      <c r="X22" s="13" t="n">
        <v>35</v>
      </c>
      <c r="Y22" s="6" t="n">
        <f aca="false">IF(X22="","",ROUND(((X22-AJ$7)/AJ$8)*AJ$16+AJ$15,1))</f>
        <v>37.6</v>
      </c>
      <c r="Z22" s="13" t="n">
        <v>11</v>
      </c>
      <c r="AA22" s="6" t="n">
        <f aca="false">IF(Z22="","",ROUND(((Z22-AJ$9)/AJ$10)*AJ$16+AJ$15,1))</f>
        <v>34</v>
      </c>
      <c r="AB22" s="13" t="n">
        <v>29.7</v>
      </c>
      <c r="AC22" s="6" t="n">
        <f aca="false">IF(AB22="","",ROUND(((AB22-AJ$11)/AJ$12)*AJ$16+AJ$15,1))</f>
        <v>30.4</v>
      </c>
      <c r="AD22" s="13" t="n">
        <v>46</v>
      </c>
      <c r="AE22" s="6" t="n">
        <f aca="false">IF(AD22="","",ROUND(((AD22-AJ$13)/AJ$14)*AJ$16+AJ$15,1))</f>
        <v>36.5</v>
      </c>
      <c r="AF22" s="14"/>
      <c r="AG22" s="14"/>
      <c r="AH22" s="12"/>
    </row>
    <row r="23" customFormat="false" ht="15" hidden="false" customHeight="true" outlineLevel="0" collapsed="false">
      <c r="A23" s="5" t="s">
        <v>29</v>
      </c>
      <c r="B23" s="5" t="s">
        <v>59</v>
      </c>
      <c r="C23" s="6" t="n">
        <f aca="false">IFERROR(ROUND(MAX(0,AVERAGE(F23,H23,J23,L23,N23)),1),"")</f>
        <v>3.1</v>
      </c>
      <c r="D23" s="7" t="n">
        <f aca="false">COUNT(E23,G23,I23,K23,M23)</f>
        <v>4</v>
      </c>
      <c r="E23" s="13" t="n">
        <v>2</v>
      </c>
      <c r="F23" s="6" t="n">
        <f aca="false">IF(E23="","",ROUND(((E23-Q$7)/Q$8)*Q$18+Q$17,1))</f>
        <v>3.8</v>
      </c>
      <c r="G23" s="13"/>
      <c r="H23" s="6" t="str">
        <f aca="false">IF(G23="","",ROUND(((G23-Q$9)/Q$10)*Q$18+Q$17,1))</f>
        <v/>
      </c>
      <c r="I23" s="13" t="n">
        <v>1</v>
      </c>
      <c r="J23" s="6" t="n">
        <f aca="false">IF(I23="","",ROUND(((I23-Q$11)/Q$12)*Q$18+Q$17,1))</f>
        <v>3.2</v>
      </c>
      <c r="K23" s="13" t="n">
        <v>346</v>
      </c>
      <c r="L23" s="6" t="n">
        <f aca="false">IF(K23="","",ROUND(((K23-Q$13)/Q$14)*Q$18+Q$17,1))</f>
        <v>1.4</v>
      </c>
      <c r="M23" s="13" t="n">
        <v>6</v>
      </c>
      <c r="N23" s="6" t="n">
        <f aca="false">IF(M23="","",ROUND(((M23-Q$15)/Q$16)*Q$18+Q$17,1))</f>
        <v>4</v>
      </c>
      <c r="O23" s="12"/>
      <c r="T23" s="5" t="s">
        <v>29</v>
      </c>
      <c r="U23" s="5" t="s">
        <v>59</v>
      </c>
      <c r="V23" s="6" t="n">
        <f aca="false">IFERROR(ROUND(MAX(0,AVERAGE(Y23,AA23,AC23,AE23)),1),"")</f>
        <v>38.6</v>
      </c>
      <c r="W23" s="7" t="n">
        <f aca="false">COUNT(X23,Z23,AB23,AD23)</f>
        <v>4</v>
      </c>
      <c r="X23" s="13" t="n">
        <v>37</v>
      </c>
      <c r="Y23" s="6" t="n">
        <f aca="false">IF(X23="","",ROUND(((X23-AJ$7)/AJ$8)*AJ$16+AJ$15,1))</f>
        <v>39</v>
      </c>
      <c r="Z23" s="13" t="n">
        <v>12</v>
      </c>
      <c r="AA23" s="6" t="n">
        <f aca="false">IF(Z23="","",ROUND(((Z23-AJ$9)/AJ$10)*AJ$16+AJ$15,1))</f>
        <v>35.2</v>
      </c>
      <c r="AB23" s="13" t="n">
        <v>45.5</v>
      </c>
      <c r="AC23" s="6" t="n">
        <f aca="false">IF(AB23="","",ROUND(((AB23-AJ$11)/AJ$12)*AJ$16+AJ$15,1))</f>
        <v>43.6</v>
      </c>
      <c r="AD23" s="13" t="n">
        <v>46</v>
      </c>
      <c r="AE23" s="6" t="n">
        <f aca="false">IF(AD23="","",ROUND(((AD23-AJ$13)/AJ$14)*AJ$16+AJ$15,1))</f>
        <v>36.5</v>
      </c>
      <c r="AF23" s="14"/>
      <c r="AG23" s="14"/>
      <c r="AH23" s="12"/>
    </row>
    <row r="24" customFormat="false" ht="15" hidden="false" customHeight="true" outlineLevel="0" collapsed="false">
      <c r="A24" s="5" t="s">
        <v>29</v>
      </c>
      <c r="B24" s="5" t="s">
        <v>60</v>
      </c>
      <c r="C24" s="6" t="n">
        <f aca="false">IFERROR(ROUND(MAX(0,AVERAGE(F24,H24,J24,L24,N24)),1),"")</f>
        <v>3</v>
      </c>
      <c r="D24" s="7" t="n">
        <f aca="false">COUNT(E24,G24,I24,K24,M24)</f>
        <v>4</v>
      </c>
      <c r="E24" s="13" t="n">
        <v>1</v>
      </c>
      <c r="F24" s="6" t="n">
        <f aca="false">IF(E24="","",ROUND(((E24-Q$7)/Q$8)*Q$18+Q$17,1))</f>
        <v>2.8</v>
      </c>
      <c r="G24" s="13"/>
      <c r="H24" s="6" t="str">
        <f aca="false">IF(G24="","",ROUND(((G24-Q$9)/Q$10)*Q$18+Q$17,1))</f>
        <v/>
      </c>
      <c r="I24" s="13" t="n">
        <v>1</v>
      </c>
      <c r="J24" s="6" t="n">
        <f aca="false">IF(I24="","",ROUND(((I24-Q$11)/Q$12)*Q$18+Q$17,1))</f>
        <v>3.2</v>
      </c>
      <c r="K24" s="13" t="n">
        <v>412</v>
      </c>
      <c r="L24" s="6" t="n">
        <f aca="false">IF(K24="","",ROUND(((K24-Q$13)/Q$14)*Q$18+Q$17,1))</f>
        <v>2.7</v>
      </c>
      <c r="M24" s="13" t="n">
        <v>5</v>
      </c>
      <c r="N24" s="6" t="n">
        <f aca="false">IF(M24="","",ROUND(((M24-Q$15)/Q$16)*Q$18+Q$17,1))</f>
        <v>3.2</v>
      </c>
      <c r="O24" s="12"/>
      <c r="T24" s="5" t="s">
        <v>29</v>
      </c>
      <c r="U24" s="5" t="s">
        <v>60</v>
      </c>
      <c r="V24" s="6" t="n">
        <f aca="false">IFERROR(ROUND(MAX(0,AVERAGE(Y24,AA24,AC24,AE24)),1),"")</f>
        <v>34.9</v>
      </c>
      <c r="W24" s="7" t="n">
        <f aca="false">COUNT(X24,Z24,AB24,AD24)</f>
        <v>4</v>
      </c>
      <c r="X24" s="13" t="n">
        <v>29</v>
      </c>
      <c r="Y24" s="6" t="n">
        <f aca="false">IF(X24="","",ROUND(((X24-AJ$7)/AJ$8)*AJ$16+AJ$15,1))</f>
        <v>33.4</v>
      </c>
      <c r="Z24" s="13" t="n">
        <v>12</v>
      </c>
      <c r="AA24" s="6" t="n">
        <f aca="false">IF(Z24="","",ROUND(((Z24-AJ$9)/AJ$10)*AJ$16+AJ$15,1))</f>
        <v>35.2</v>
      </c>
      <c r="AB24" s="13" t="n">
        <v>36.1</v>
      </c>
      <c r="AC24" s="6" t="n">
        <f aca="false">IF(AB24="","",ROUND(((AB24-AJ$11)/AJ$12)*AJ$16+AJ$15,1))</f>
        <v>35.8</v>
      </c>
      <c r="AD24" s="13" t="n">
        <v>45</v>
      </c>
      <c r="AE24" s="6" t="n">
        <f aca="false">IF(AD24="","",ROUND(((AD24-AJ$13)/AJ$14)*AJ$16+AJ$15,1))</f>
        <v>35.2</v>
      </c>
      <c r="AF24" s="14"/>
      <c r="AG24" s="14"/>
      <c r="AH24" s="12"/>
    </row>
    <row r="25" customFormat="false" ht="15" hidden="false" customHeight="true" outlineLevel="0" collapsed="false">
      <c r="A25" s="5" t="s">
        <v>29</v>
      </c>
      <c r="B25" s="5" t="s">
        <v>61</v>
      </c>
      <c r="C25" s="6" t="n">
        <f aca="false">IFERROR(ROUND(MAX(0,AVERAGE(F25,H25,J25,L25,N25)),1),"")</f>
        <v>2.7</v>
      </c>
      <c r="D25" s="7" t="n">
        <f aca="false">COUNT(E25,G25,I25,K25,M25)</f>
        <v>4</v>
      </c>
      <c r="E25" s="13" t="n">
        <v>1</v>
      </c>
      <c r="F25" s="6" t="n">
        <f aca="false">IF(E25="","",ROUND(((E25-Q$7)/Q$8)*Q$18+Q$17,1))</f>
        <v>2.8</v>
      </c>
      <c r="G25" s="13"/>
      <c r="H25" s="6" t="str">
        <f aca="false">IF(G25="","",ROUND(((G25-Q$9)/Q$10)*Q$18+Q$17,1))</f>
        <v/>
      </c>
      <c r="I25" s="13" t="n">
        <v>1</v>
      </c>
      <c r="J25" s="6" t="n">
        <f aca="false">IF(I25="","",ROUND(((I25-Q$11)/Q$12)*Q$18+Q$17,1))</f>
        <v>3.2</v>
      </c>
      <c r="K25" s="13" t="n">
        <v>309</v>
      </c>
      <c r="L25" s="6" t="n">
        <f aca="false">IF(K25="","",ROUND(((K25-Q$13)/Q$14)*Q$18+Q$17,1))</f>
        <v>0.7</v>
      </c>
      <c r="M25" s="13" t="n">
        <v>6</v>
      </c>
      <c r="N25" s="6" t="n">
        <f aca="false">IF(M25="","",ROUND(((M25-Q$15)/Q$16)*Q$18+Q$17,1))</f>
        <v>4</v>
      </c>
      <c r="O25" s="12"/>
      <c r="T25" s="5" t="s">
        <v>29</v>
      </c>
      <c r="U25" s="5" t="s">
        <v>61</v>
      </c>
      <c r="V25" s="6" t="n">
        <f aca="false">IFERROR(ROUND(MAX(0,AVERAGE(Y25,AA25,AC25,AE25)),1),"")</f>
        <v>35.9</v>
      </c>
      <c r="W25" s="7" t="n">
        <f aca="false">COUNT(X25,Z25,AB25,AD25)</f>
        <v>4</v>
      </c>
      <c r="X25" s="13" t="n">
        <v>28</v>
      </c>
      <c r="Y25" s="6" t="n">
        <f aca="false">IF(X25="","",ROUND(((X25-AJ$7)/AJ$8)*AJ$16+AJ$15,1))</f>
        <v>32.7</v>
      </c>
      <c r="Z25" s="13" t="n">
        <v>11</v>
      </c>
      <c r="AA25" s="6" t="n">
        <f aca="false">IF(Z25="","",ROUND(((Z25-AJ$9)/AJ$10)*AJ$16+AJ$15,1))</f>
        <v>34</v>
      </c>
      <c r="AB25" s="13" t="n">
        <v>41.8</v>
      </c>
      <c r="AC25" s="6" t="n">
        <f aca="false">IF(AB25="","",ROUND(((AB25-AJ$11)/AJ$12)*AJ$16+AJ$15,1))</f>
        <v>40.5</v>
      </c>
      <c r="AD25" s="13" t="n">
        <v>46</v>
      </c>
      <c r="AE25" s="6" t="n">
        <f aca="false">IF(AD25="","",ROUND(((AD25-AJ$13)/AJ$14)*AJ$16+AJ$15,1))</f>
        <v>36.5</v>
      </c>
      <c r="AF25" s="14"/>
      <c r="AG25" s="14"/>
      <c r="AH25" s="12"/>
    </row>
    <row r="26" customFormat="false" ht="15" hidden="false" customHeight="true" outlineLevel="0" collapsed="false">
      <c r="A26" s="5" t="s">
        <v>29</v>
      </c>
      <c r="B26" s="5" t="s">
        <v>62</v>
      </c>
      <c r="C26" s="6" t="n">
        <f aca="false">IFERROR(ROUND(MAX(0,AVERAGE(F26,H26,J26,L26,N26)),1),"")</f>
        <v>2.4</v>
      </c>
      <c r="D26" s="7" t="n">
        <f aca="false">COUNT(E26,G26,I26,K26,M26)</f>
        <v>3</v>
      </c>
      <c r="E26" s="13" t="n">
        <v>0</v>
      </c>
      <c r="F26" s="6" t="n">
        <f aca="false">IF(E26="","",ROUND(((E26-Q$7)/Q$8)*Q$18+Q$17,1))</f>
        <v>1.7</v>
      </c>
      <c r="G26" s="13"/>
      <c r="H26" s="6" t="str">
        <f aca="false">IF(G26="","",ROUND(((G26-Q$9)/Q$10)*Q$18+Q$17,1))</f>
        <v/>
      </c>
      <c r="I26" s="13" t="n">
        <v>1</v>
      </c>
      <c r="J26" s="6" t="n">
        <f aca="false">IF(I26="","",ROUND(((I26-Q$11)/Q$12)*Q$18+Q$17,1))</f>
        <v>3.2</v>
      </c>
      <c r="K26" s="13"/>
      <c r="L26" s="6" t="str">
        <f aca="false">IF(K26="","",ROUND(((K26-Q$13)/Q$14)*Q$18+Q$17,1))</f>
        <v/>
      </c>
      <c r="M26" s="13" t="n">
        <v>4</v>
      </c>
      <c r="N26" s="6" t="n">
        <f aca="false">IF(M26="","",ROUND(((M26-Q$15)/Q$16)*Q$18+Q$17,1))</f>
        <v>2.4</v>
      </c>
      <c r="O26" s="12"/>
      <c r="T26" s="5" t="s">
        <v>29</v>
      </c>
      <c r="U26" s="5" t="s">
        <v>62</v>
      </c>
      <c r="V26" s="6" t="n">
        <f aca="false">IFERROR(ROUND(MAX(0,AVERAGE(Y26,AA26,AC26,AE26)),1),"")</f>
        <v>25.3</v>
      </c>
      <c r="W26" s="7" t="n">
        <f aca="false">COUNT(X26,Z26,AB26,AD26)</f>
        <v>4</v>
      </c>
      <c r="X26" s="13" t="n">
        <v>23</v>
      </c>
      <c r="Y26" s="6" t="n">
        <f aca="false">IF(X26="","",ROUND(((X26-AJ$7)/AJ$8)*AJ$16+AJ$15,1))</f>
        <v>29.3</v>
      </c>
      <c r="Z26" s="13" t="n">
        <v>8</v>
      </c>
      <c r="AA26" s="6" t="n">
        <f aca="false">IF(Z26="","",ROUND(((Z26-AJ$9)/AJ$10)*AJ$16+AJ$15,1))</f>
        <v>30.2</v>
      </c>
      <c r="AB26" s="13" t="n">
        <v>2.6</v>
      </c>
      <c r="AC26" s="6" t="n">
        <f aca="false">IF(AB26="","",ROUND(((AB26-AJ$11)/AJ$12)*AJ$16+AJ$15,1))</f>
        <v>7.9</v>
      </c>
      <c r="AD26" s="13" t="n">
        <v>44</v>
      </c>
      <c r="AE26" s="6" t="n">
        <f aca="false">IF(AD26="","",ROUND(((AD26-AJ$13)/AJ$14)*AJ$16+AJ$15,1))</f>
        <v>33.9</v>
      </c>
      <c r="AF26" s="14"/>
      <c r="AG26" s="14"/>
      <c r="AH26" s="12"/>
    </row>
    <row r="27" customFormat="false" ht="15" hidden="false" customHeight="true" outlineLevel="0" collapsed="false">
      <c r="A27" s="5" t="s">
        <v>29</v>
      </c>
      <c r="B27" s="5" t="s">
        <v>63</v>
      </c>
      <c r="C27" s="6" t="n">
        <f aca="false">IFERROR(ROUND(MAX(0,AVERAGE(F27,H27,J27,L27,N27)),1),"")</f>
        <v>2</v>
      </c>
      <c r="D27" s="7" t="n">
        <f aca="false">COUNT(E27,G27,I27,K27,M27)</f>
        <v>4</v>
      </c>
      <c r="E27" s="13" t="n">
        <v>1</v>
      </c>
      <c r="F27" s="6" t="n">
        <f aca="false">IF(E27="","",ROUND(((E27-Q$7)/Q$8)*Q$18+Q$17,1))</f>
        <v>2.8</v>
      </c>
      <c r="G27" s="13"/>
      <c r="H27" s="6" t="str">
        <f aca="false">IF(G27="","",ROUND(((G27-Q$9)/Q$10)*Q$18+Q$17,1))</f>
        <v/>
      </c>
      <c r="I27" s="13" t="n">
        <v>1</v>
      </c>
      <c r="J27" s="6" t="n">
        <f aca="false">IF(I27="","",ROUND(((I27-Q$11)/Q$12)*Q$18+Q$17,1))</f>
        <v>3.2</v>
      </c>
      <c r="K27" s="13" t="n">
        <v>297</v>
      </c>
      <c r="L27" s="6" t="n">
        <f aca="false">IF(K27="","",ROUND(((K27-Q$13)/Q$14)*Q$18+Q$17,1))</f>
        <v>0.5</v>
      </c>
      <c r="M27" s="13" t="n">
        <v>3</v>
      </c>
      <c r="N27" s="6" t="n">
        <f aca="false">IF(M27="","",ROUND(((M27-Q$15)/Q$16)*Q$18+Q$17,1))</f>
        <v>1.6</v>
      </c>
      <c r="O27" s="12"/>
      <c r="T27" s="5" t="s">
        <v>29</v>
      </c>
      <c r="U27" s="5" t="s">
        <v>63</v>
      </c>
      <c r="V27" s="6" t="n">
        <f aca="false">IFERROR(ROUND(MAX(0,AVERAGE(Y27,AA27,AC27,AE27)),1),"")</f>
        <v>33.9</v>
      </c>
      <c r="W27" s="7" t="n">
        <f aca="false">COUNT(X27,Z27,AB27,AD27)</f>
        <v>4</v>
      </c>
      <c r="X27" s="13" t="n">
        <v>27</v>
      </c>
      <c r="Y27" s="6" t="n">
        <f aca="false">IF(X27="","",ROUND(((X27-AJ$7)/AJ$8)*AJ$16+AJ$15,1))</f>
        <v>32.1</v>
      </c>
      <c r="Z27" s="13" t="n">
        <v>11</v>
      </c>
      <c r="AA27" s="6" t="n">
        <f aca="false">IF(Z27="","",ROUND(((Z27-AJ$9)/AJ$10)*AJ$16+AJ$15,1))</f>
        <v>34</v>
      </c>
      <c r="AB27" s="13" t="n">
        <v>37.5</v>
      </c>
      <c r="AC27" s="6" t="n">
        <f aca="false">IF(AB27="","",ROUND(((AB27-AJ$11)/AJ$12)*AJ$16+AJ$15,1))</f>
        <v>36.9</v>
      </c>
      <c r="AD27" s="13" t="n">
        <v>43</v>
      </c>
      <c r="AE27" s="6" t="n">
        <f aca="false">IF(AD27="","",ROUND(((AD27-AJ$13)/AJ$14)*AJ$16+AJ$15,1))</f>
        <v>32.6</v>
      </c>
      <c r="AF27" s="14"/>
      <c r="AG27" s="14"/>
      <c r="AH27" s="12"/>
    </row>
    <row r="28" customFormat="false" ht="15" hidden="false" customHeight="true" outlineLevel="0" collapsed="false">
      <c r="A28" s="5" t="s">
        <v>29</v>
      </c>
      <c r="B28" s="5" t="s">
        <v>64</v>
      </c>
      <c r="C28" s="6" t="n">
        <f aca="false">IFERROR(ROUND(MAX(0,AVERAGE(F28,H28,J28,L28,N28)),1),"")</f>
        <v>1.9</v>
      </c>
      <c r="D28" s="7" t="n">
        <f aca="false">COUNT(E28,G28,I28,K28,M28)</f>
        <v>3</v>
      </c>
      <c r="E28" s="13" t="n">
        <v>0</v>
      </c>
      <c r="F28" s="6" t="n">
        <f aca="false">IF(E28="","",ROUND(((E28-Q$7)/Q$8)*Q$18+Q$17,1))</f>
        <v>1.7</v>
      </c>
      <c r="G28" s="13"/>
      <c r="H28" s="6" t="str">
        <f aca="false">IF(G28="","",ROUND(((G28-Q$9)/Q$10)*Q$18+Q$17,1))</f>
        <v/>
      </c>
      <c r="I28" s="13" t="n">
        <v>1</v>
      </c>
      <c r="J28" s="6" t="n">
        <f aca="false">IF(I28="","",ROUND(((I28-Q$11)/Q$12)*Q$18+Q$17,1))</f>
        <v>3.2</v>
      </c>
      <c r="K28" s="13"/>
      <c r="L28" s="6" t="str">
        <f aca="false">IF(K28="","",ROUND(((K28-Q$13)/Q$14)*Q$18+Q$17,1))</f>
        <v/>
      </c>
      <c r="M28" s="13" t="n">
        <v>2</v>
      </c>
      <c r="N28" s="6" t="n">
        <f aca="false">IF(M28="","",ROUND(((M28-Q$15)/Q$16)*Q$18+Q$17,1))</f>
        <v>0.8</v>
      </c>
      <c r="O28" s="12"/>
      <c r="T28" s="5" t="s">
        <v>29</v>
      </c>
      <c r="U28" s="5" t="s">
        <v>64</v>
      </c>
      <c r="V28" s="6" t="n">
        <f aca="false">IFERROR(ROUND(MAX(0,AVERAGE(Y28,AA28,AC28,AE28)),1),"")</f>
        <v>28.7</v>
      </c>
      <c r="W28" s="7" t="n">
        <f aca="false">COUNT(X28,Z28,AB28,AD28)</f>
        <v>4</v>
      </c>
      <c r="X28" s="13" t="n">
        <v>18</v>
      </c>
      <c r="Y28" s="6" t="n">
        <f aca="false">IF(X28="","",ROUND(((X28-AJ$7)/AJ$8)*AJ$16+AJ$15,1))</f>
        <v>25.8</v>
      </c>
      <c r="Z28" s="13" t="n">
        <v>7</v>
      </c>
      <c r="AA28" s="6" t="n">
        <f aca="false">IF(Z28="","",ROUND(((Z28-AJ$9)/AJ$10)*AJ$16+AJ$15,1))</f>
        <v>29</v>
      </c>
      <c r="AB28" s="13" t="n">
        <v>29.3</v>
      </c>
      <c r="AC28" s="6" t="n">
        <f aca="false">IF(AB28="","",ROUND(((AB28-AJ$11)/AJ$12)*AJ$16+AJ$15,1))</f>
        <v>30.1</v>
      </c>
      <c r="AD28" s="13" t="n">
        <v>41</v>
      </c>
      <c r="AE28" s="6" t="n">
        <f aca="false">IF(AD28="","",ROUND(((AD28-AJ$13)/AJ$14)*AJ$16+AJ$15,1))</f>
        <v>30</v>
      </c>
      <c r="AF28" s="14"/>
      <c r="AG28" s="14"/>
      <c r="AH28" s="12"/>
    </row>
    <row r="29" customFormat="false" ht="15" hidden="false" customHeight="true" outlineLevel="0" collapsed="false">
      <c r="A29" s="5" t="s">
        <v>29</v>
      </c>
      <c r="B29" s="5" t="s">
        <v>65</v>
      </c>
      <c r="C29" s="6" t="n">
        <f aca="false">IFERROR(ROUND(MAX(0,AVERAGE(F29,H29,J29,L29,N29)),1),"")</f>
        <v>1.6</v>
      </c>
      <c r="D29" s="7" t="n">
        <f aca="false">COUNT(E29,G29,I29,K29,M29)</f>
        <v>4</v>
      </c>
      <c r="E29" s="13" t="n">
        <v>0</v>
      </c>
      <c r="F29" s="6" t="n">
        <f aca="false">IF(E29="","",ROUND(((E29-Q$7)/Q$8)*Q$18+Q$17,1))</f>
        <v>1.7</v>
      </c>
      <c r="G29" s="13"/>
      <c r="H29" s="6" t="str">
        <f aca="false">IF(G29="","",ROUND(((G29-Q$9)/Q$10)*Q$18+Q$17,1))</f>
        <v/>
      </c>
      <c r="I29" s="13" t="n">
        <v>1</v>
      </c>
      <c r="J29" s="6" t="n">
        <f aca="false">IF(I29="","",ROUND(((I29-Q$11)/Q$12)*Q$18+Q$17,1))</f>
        <v>3.2</v>
      </c>
      <c r="K29" s="13" t="n">
        <v>314</v>
      </c>
      <c r="L29" s="6" t="n">
        <f aca="false">IF(K29="","",ROUND(((K29-Q$13)/Q$14)*Q$18+Q$17,1))</f>
        <v>0.8</v>
      </c>
      <c r="M29" s="13" t="n">
        <v>2</v>
      </c>
      <c r="N29" s="6" t="n">
        <f aca="false">IF(M29="","",ROUND(((M29-Q$15)/Q$16)*Q$18+Q$17,1))</f>
        <v>0.8</v>
      </c>
      <c r="O29" s="12"/>
      <c r="T29" s="5" t="s">
        <v>29</v>
      </c>
      <c r="U29" s="5" t="s">
        <v>65</v>
      </c>
      <c r="V29" s="6" t="n">
        <f aca="false">IFERROR(ROUND(MAX(0,AVERAGE(Y29,AA29,AC29,AE29)),1),"")</f>
        <v>34.2</v>
      </c>
      <c r="W29" s="7" t="n">
        <f aca="false">COUNT(X29,Z29,AB29,AD29)</f>
        <v>4</v>
      </c>
      <c r="X29" s="13" t="n">
        <v>24</v>
      </c>
      <c r="Y29" s="6" t="n">
        <f aca="false">IF(X29="","",ROUND(((X29-AJ$7)/AJ$8)*AJ$16+AJ$15,1))</f>
        <v>30</v>
      </c>
      <c r="Z29" s="13" t="n">
        <v>10</v>
      </c>
      <c r="AA29" s="6" t="n">
        <f aca="false">IF(Z29="","",ROUND(((Z29-AJ$9)/AJ$10)*AJ$16+AJ$15,1))</f>
        <v>32.7</v>
      </c>
      <c r="AB29" s="13" t="n">
        <v>44.6</v>
      </c>
      <c r="AC29" s="6" t="n">
        <f aca="false">IF(AB29="","",ROUND(((AB29-AJ$11)/AJ$12)*AJ$16+AJ$15,1))</f>
        <v>42.8</v>
      </c>
      <c r="AD29" s="13" t="n">
        <v>42</v>
      </c>
      <c r="AE29" s="6" t="n">
        <f aca="false">IF(AD29="","",ROUND(((AD29-AJ$13)/AJ$14)*AJ$16+AJ$15,1))</f>
        <v>31.3</v>
      </c>
      <c r="AF29" s="14"/>
      <c r="AG29" s="14"/>
      <c r="AH29" s="12"/>
    </row>
    <row r="30" customFormat="false" ht="15" hidden="false" customHeight="true" outlineLevel="0" collapsed="false">
      <c r="A30" s="5" t="s">
        <v>29</v>
      </c>
      <c r="B30" s="5" t="s">
        <v>66</v>
      </c>
      <c r="C30" s="6" t="n">
        <f aca="false">IFERROR(ROUND(MAX(0,AVERAGE(F30,H30,J30,L30,N30)),1),"")</f>
        <v>1.6</v>
      </c>
      <c r="D30" s="7" t="n">
        <f aca="false">COUNT(E30,G30,I30,K30,M30)</f>
        <v>3</v>
      </c>
      <c r="E30" s="13" t="n">
        <v>0</v>
      </c>
      <c r="F30" s="6" t="n">
        <f aca="false">IF(E30="","",ROUND(((E30-Q$7)/Q$8)*Q$18+Q$17,1))</f>
        <v>1.7</v>
      </c>
      <c r="G30" s="13"/>
      <c r="H30" s="6" t="str">
        <f aca="false">IF(G30="","",ROUND(((G30-Q$9)/Q$10)*Q$18+Q$17,1))</f>
        <v/>
      </c>
      <c r="I30" s="13" t="n">
        <v>1</v>
      </c>
      <c r="J30" s="6" t="n">
        <f aca="false">IF(I30="","",ROUND(((I30-Q$11)/Q$12)*Q$18+Q$17,1))</f>
        <v>3.2</v>
      </c>
      <c r="K30" s="13"/>
      <c r="L30" s="6" t="str">
        <f aca="false">IF(K30="","",ROUND(((K30-Q$13)/Q$14)*Q$18+Q$17,1))</f>
        <v/>
      </c>
      <c r="M30" s="13" t="n">
        <v>1</v>
      </c>
      <c r="N30" s="6" t="n">
        <f aca="false">IF(M30="","",ROUND(((M30-Q$15)/Q$16)*Q$18+Q$17,1))</f>
        <v>-0</v>
      </c>
      <c r="O30" s="12"/>
      <c r="T30" s="5" t="s">
        <v>29</v>
      </c>
      <c r="U30" s="5" t="s">
        <v>66</v>
      </c>
      <c r="V30" s="6" t="n">
        <f aca="false">IFERROR(ROUND(MAX(0,AVERAGE(Y30,AA30,AC30,AE30)),1),"")</f>
        <v>27.8</v>
      </c>
      <c r="W30" s="7" t="n">
        <f aca="false">COUNT(X30,Z30,AB30,AD30)</f>
        <v>4</v>
      </c>
      <c r="X30" s="13" t="n">
        <v>19</v>
      </c>
      <c r="Y30" s="6" t="n">
        <f aca="false">IF(X30="","",ROUND(((X30-AJ$7)/AJ$8)*AJ$16+AJ$15,1))</f>
        <v>26.5</v>
      </c>
      <c r="Z30" s="13" t="n">
        <v>7</v>
      </c>
      <c r="AA30" s="6" t="n">
        <f aca="false">IF(Z30="","",ROUND(((Z30-AJ$9)/AJ$10)*AJ$16+AJ$15,1))</f>
        <v>29</v>
      </c>
      <c r="AB30" s="13" t="n">
        <v>28.7</v>
      </c>
      <c r="AC30" s="6" t="n">
        <f aca="false">IF(AB30="","",ROUND(((AB30-AJ$11)/AJ$12)*AJ$16+AJ$15,1))</f>
        <v>29.6</v>
      </c>
      <c r="AD30" s="13" t="n">
        <v>38</v>
      </c>
      <c r="AE30" s="6" t="n">
        <f aca="false">IF(AD30="","",ROUND(((AD30-AJ$13)/AJ$14)*AJ$16+AJ$15,1))</f>
        <v>26.1</v>
      </c>
      <c r="AF30" s="14"/>
      <c r="AG30" s="14"/>
      <c r="AH30" s="12"/>
    </row>
    <row r="31" customFormat="false" ht="15" hidden="false" customHeight="true" outlineLevel="0" collapsed="false">
      <c r="A31" s="5" t="s">
        <v>29</v>
      </c>
      <c r="B31" s="5" t="s">
        <v>67</v>
      </c>
      <c r="C31" s="6" t="n">
        <f aca="false">IFERROR(ROUND(MAX(0,AVERAGE(F31,H31,J31,L31,N31)),1),"")</f>
        <v>1.6</v>
      </c>
      <c r="D31" s="7" t="n">
        <f aca="false">COUNT(E31,G31,I31,K31,M31)</f>
        <v>3</v>
      </c>
      <c r="E31" s="13" t="n">
        <v>0</v>
      </c>
      <c r="F31" s="6" t="n">
        <f aca="false">IF(E31="","",ROUND(((E31-Q$7)/Q$8)*Q$18+Q$17,1))</f>
        <v>1.7</v>
      </c>
      <c r="G31" s="13"/>
      <c r="H31" s="6" t="str">
        <f aca="false">IF(G31="","",ROUND(((G31-Q$9)/Q$10)*Q$18+Q$17,1))</f>
        <v/>
      </c>
      <c r="I31" s="13" t="n">
        <v>1</v>
      </c>
      <c r="J31" s="6" t="n">
        <f aca="false">IF(I31="","",ROUND(((I31-Q$11)/Q$12)*Q$18+Q$17,1))</f>
        <v>3.2</v>
      </c>
      <c r="K31" s="13"/>
      <c r="L31" s="6" t="str">
        <f aca="false">IF(K31="","",ROUND(((K31-Q$13)/Q$14)*Q$18+Q$17,1))</f>
        <v/>
      </c>
      <c r="M31" s="13" t="n">
        <v>1</v>
      </c>
      <c r="N31" s="6" t="n">
        <f aca="false">IF(M31="","",ROUND(((M31-Q$15)/Q$16)*Q$18+Q$17,1))</f>
        <v>-0</v>
      </c>
      <c r="O31" s="12"/>
      <c r="T31" s="5" t="s">
        <v>29</v>
      </c>
      <c r="U31" s="5" t="s">
        <v>67</v>
      </c>
      <c r="V31" s="6" t="n">
        <f aca="false">IFERROR(ROUND(MAX(0,AVERAGE(Y31,AA31,AC31,AE31)),1),"")</f>
        <v>30.3</v>
      </c>
      <c r="W31" s="7" t="n">
        <f aca="false">COUNT(X31,Z31,AB31,AD31)</f>
        <v>4</v>
      </c>
      <c r="X31" s="13" t="n">
        <v>19</v>
      </c>
      <c r="Y31" s="6" t="n">
        <f aca="false">IF(X31="","",ROUND(((X31-AJ$7)/AJ$8)*AJ$16+AJ$15,1))</f>
        <v>26.5</v>
      </c>
      <c r="Z31" s="13" t="n">
        <v>8</v>
      </c>
      <c r="AA31" s="6" t="n">
        <f aca="false">IF(Z31="","",ROUND(((Z31-AJ$9)/AJ$10)*AJ$16+AJ$15,1))</f>
        <v>30.2</v>
      </c>
      <c r="AB31" s="13" t="n">
        <v>40.7</v>
      </c>
      <c r="AC31" s="6" t="n">
        <f aca="false">IF(AB31="","",ROUND(((AB31-AJ$11)/AJ$12)*AJ$16+AJ$15,1))</f>
        <v>39.6</v>
      </c>
      <c r="AD31" s="13" t="n">
        <v>37</v>
      </c>
      <c r="AE31" s="6" t="n">
        <f aca="false">IF(AD31="","",ROUND(((AD31-AJ$13)/AJ$14)*AJ$16+AJ$15,1))</f>
        <v>24.9</v>
      </c>
      <c r="AF31" s="14"/>
      <c r="AG31" s="14"/>
      <c r="AH31" s="12"/>
    </row>
    <row r="32" customFormat="false" ht="15" hidden="false" customHeight="true" outlineLevel="0" collapsed="false">
      <c r="A32" s="5" t="s">
        <v>29</v>
      </c>
      <c r="B32" s="5" t="s">
        <v>68</v>
      </c>
      <c r="C32" s="6" t="n">
        <f aca="false">IFERROR(ROUND(MAX(0,AVERAGE(F32,H32,J32,L32,N32)),1),"")</f>
        <v>1.6</v>
      </c>
      <c r="D32" s="7" t="n">
        <f aca="false">COUNT(E32,G32,I32,K32,M32)</f>
        <v>3</v>
      </c>
      <c r="E32" s="13" t="n">
        <v>0</v>
      </c>
      <c r="F32" s="6" t="n">
        <f aca="false">IF(E32="","",ROUND(((E32-Q$7)/Q$8)*Q$18+Q$17,1))</f>
        <v>1.7</v>
      </c>
      <c r="G32" s="13"/>
      <c r="H32" s="6" t="str">
        <f aca="false">IF(G32="","",ROUND(((G32-Q$9)/Q$10)*Q$18+Q$17,1))</f>
        <v/>
      </c>
      <c r="I32" s="13" t="n">
        <v>1</v>
      </c>
      <c r="J32" s="6" t="n">
        <f aca="false">IF(I32="","",ROUND(((I32-Q$11)/Q$12)*Q$18+Q$17,1))</f>
        <v>3.2</v>
      </c>
      <c r="K32" s="13"/>
      <c r="L32" s="6" t="str">
        <f aca="false">IF(K32="","",ROUND(((K32-Q$13)/Q$14)*Q$18+Q$17,1))</f>
        <v/>
      </c>
      <c r="M32" s="13" t="n">
        <v>1</v>
      </c>
      <c r="N32" s="6" t="n">
        <f aca="false">IF(M32="","",ROUND(((M32-Q$15)/Q$16)*Q$18+Q$17,1))</f>
        <v>-0</v>
      </c>
      <c r="O32" s="12"/>
      <c r="T32" s="5" t="s">
        <v>29</v>
      </c>
      <c r="U32" s="5" t="s">
        <v>68</v>
      </c>
      <c r="V32" s="6" t="n">
        <f aca="false">IFERROR(ROUND(MAX(0,AVERAGE(Y32,AA32,AC32,AE32)),1),"")</f>
        <v>19.3</v>
      </c>
      <c r="W32" s="7" t="n">
        <f aca="false">COUNT(X32,Z32,AB32,AD32)</f>
        <v>4</v>
      </c>
      <c r="X32" s="13" t="n">
        <v>16</v>
      </c>
      <c r="Y32" s="6" t="n">
        <f aca="false">IF(X32="","",ROUND(((X32-AJ$7)/AJ$8)*AJ$16+AJ$15,1))</f>
        <v>24.4</v>
      </c>
      <c r="Z32" s="13" t="n">
        <v>5</v>
      </c>
      <c r="AA32" s="6" t="n">
        <f aca="false">IF(Z32="","",ROUND(((Z32-AJ$9)/AJ$10)*AJ$16+AJ$15,1))</f>
        <v>26.5</v>
      </c>
      <c r="AB32" s="13" t="n">
        <v>1</v>
      </c>
      <c r="AC32" s="6" t="n">
        <f aca="false">IF(AB32="","",ROUND(((AB32-AJ$11)/AJ$12)*AJ$16+AJ$15,1))</f>
        <v>6.5</v>
      </c>
      <c r="AD32" s="13" t="n">
        <v>33</v>
      </c>
      <c r="AE32" s="6" t="n">
        <f aca="false">IF(AD32="","",ROUND(((AD32-AJ$13)/AJ$14)*AJ$16+AJ$15,1))</f>
        <v>19.7</v>
      </c>
      <c r="AF32" s="14"/>
      <c r="AG32" s="14"/>
      <c r="AH32" s="12"/>
    </row>
    <row r="33" customFormat="false" ht="15" hidden="false" customHeight="true" outlineLevel="0" collapsed="false">
      <c r="A33" s="5" t="s">
        <v>29</v>
      </c>
      <c r="B33" s="5" t="s">
        <v>69</v>
      </c>
      <c r="C33" s="6" t="n">
        <f aca="false">IFERROR(ROUND(MAX(0,AVERAGE(F33,H33,J33,L33,N33)),1),"")</f>
        <v>1.6</v>
      </c>
      <c r="D33" s="7" t="n">
        <f aca="false">COUNT(E33,G33,I33,K33,M33)</f>
        <v>4</v>
      </c>
      <c r="E33" s="13" t="n">
        <v>0</v>
      </c>
      <c r="F33" s="6" t="n">
        <f aca="false">IF(E33="","",ROUND(((E33-Q$7)/Q$8)*Q$18+Q$17,1))</f>
        <v>1.7</v>
      </c>
      <c r="G33" s="13"/>
      <c r="H33" s="6" t="str">
        <f aca="false">IF(G33="","",ROUND(((G33-Q$9)/Q$10)*Q$18+Q$17,1))</f>
        <v/>
      </c>
      <c r="I33" s="13" t="n">
        <v>1</v>
      </c>
      <c r="J33" s="6" t="n">
        <f aca="false">IF(I33="","",ROUND(((I33-Q$11)/Q$12)*Q$18+Q$17,1))</f>
        <v>3.2</v>
      </c>
      <c r="K33" s="13" t="n">
        <v>312</v>
      </c>
      <c r="L33" s="6" t="n">
        <f aca="false">IF(K33="","",ROUND(((K33-Q$13)/Q$14)*Q$18+Q$17,1))</f>
        <v>0.8</v>
      </c>
      <c r="M33" s="13" t="n">
        <v>2</v>
      </c>
      <c r="N33" s="6" t="n">
        <f aca="false">IF(M33="","",ROUND(((M33-Q$15)/Q$16)*Q$18+Q$17,1))</f>
        <v>0.8</v>
      </c>
      <c r="O33" s="12"/>
      <c r="T33" s="5" t="s">
        <v>29</v>
      </c>
      <c r="U33" s="5" t="s">
        <v>69</v>
      </c>
      <c r="V33" s="6" t="n">
        <f aca="false">IFERROR(ROUND(MAX(0,AVERAGE(Y33,AA33,AC33,AE33)),1),"")</f>
        <v>34.4</v>
      </c>
      <c r="W33" s="7" t="n">
        <f aca="false">COUNT(X33,Z33,AB33,AD33)</f>
        <v>4</v>
      </c>
      <c r="X33" s="13" t="n">
        <v>24</v>
      </c>
      <c r="Y33" s="6" t="n">
        <f aca="false">IF(X33="","",ROUND(((X33-AJ$7)/AJ$8)*AJ$16+AJ$15,1))</f>
        <v>30</v>
      </c>
      <c r="Z33" s="13" t="n">
        <v>10</v>
      </c>
      <c r="AA33" s="6" t="n">
        <f aca="false">IF(Z33="","",ROUND(((Z33-AJ$9)/AJ$10)*AJ$16+AJ$15,1))</f>
        <v>32.7</v>
      </c>
      <c r="AB33" s="13" t="n">
        <v>43.7</v>
      </c>
      <c r="AC33" s="6" t="n">
        <f aca="false">IF(AB33="","",ROUND(((AB33-AJ$11)/AJ$12)*AJ$16+AJ$15,1))</f>
        <v>42.1</v>
      </c>
      <c r="AD33" s="13" t="n">
        <v>43</v>
      </c>
      <c r="AE33" s="6" t="n">
        <f aca="false">IF(AD33="","",ROUND(((AD33-AJ$13)/AJ$14)*AJ$16+AJ$15,1))</f>
        <v>32.6</v>
      </c>
      <c r="AF33" s="14"/>
      <c r="AG33" s="14"/>
      <c r="AH33" s="12"/>
    </row>
    <row r="34" customFormat="false" ht="15" hidden="false" customHeight="true" outlineLevel="0" collapsed="false">
      <c r="A34" s="5" t="s">
        <v>29</v>
      </c>
      <c r="B34" s="5" t="s">
        <v>70</v>
      </c>
      <c r="C34" s="6" t="n">
        <f aca="false">IFERROR(ROUND(MAX(0,AVERAGE(F34,H34,J34,L34,N34)),1),"")</f>
        <v>1.6</v>
      </c>
      <c r="D34" s="7" t="n">
        <f aca="false">COUNT(E34,G34,I34,K34,M34)</f>
        <v>4</v>
      </c>
      <c r="E34" s="13" t="n">
        <v>1</v>
      </c>
      <c r="F34" s="6" t="n">
        <f aca="false">IF(E34="","",ROUND(((E34-Q$7)/Q$8)*Q$18+Q$17,1))</f>
        <v>2.8</v>
      </c>
      <c r="G34" s="13"/>
      <c r="H34" s="6" t="str">
        <f aca="false">IF(G34="","",ROUND(((G34-Q$9)/Q$10)*Q$18+Q$17,1))</f>
        <v/>
      </c>
      <c r="I34" s="13" t="n">
        <v>1</v>
      </c>
      <c r="J34" s="6" t="n">
        <f aca="false">IF(I34="","",ROUND(((I34-Q$11)/Q$12)*Q$18+Q$17,1))</f>
        <v>3.2</v>
      </c>
      <c r="K34" s="13" t="n">
        <v>247</v>
      </c>
      <c r="L34" s="6" t="n">
        <f aca="false">IF(K34="","",ROUND(((K34-Q$13)/Q$14)*Q$18+Q$17,1))</f>
        <v>-0.5</v>
      </c>
      <c r="M34" s="13" t="n">
        <v>2</v>
      </c>
      <c r="N34" s="6" t="n">
        <f aca="false">IF(M34="","",ROUND(((M34-Q$15)/Q$16)*Q$18+Q$17,1))</f>
        <v>0.8</v>
      </c>
      <c r="O34" s="12"/>
      <c r="T34" s="5" t="s">
        <v>29</v>
      </c>
      <c r="U34" s="5" t="s">
        <v>70</v>
      </c>
      <c r="V34" s="6" t="n">
        <f aca="false">IFERROR(ROUND(MAX(0,AVERAGE(Y34,AA34,AC34,AE34)),1),"")</f>
        <v>30.5</v>
      </c>
      <c r="W34" s="7" t="n">
        <f aca="false">COUNT(X34,Z34,AB34,AD34)</f>
        <v>4</v>
      </c>
      <c r="X34" s="13" t="n">
        <v>25</v>
      </c>
      <c r="Y34" s="6" t="n">
        <f aca="false">IF(X34="","",ROUND(((X34-AJ$7)/AJ$8)*AJ$16+AJ$15,1))</f>
        <v>30.7</v>
      </c>
      <c r="Z34" s="13" t="n">
        <v>9</v>
      </c>
      <c r="AA34" s="6" t="n">
        <f aca="false">IF(Z34="","",ROUND(((Z34-AJ$9)/AJ$10)*AJ$16+AJ$15,1))</f>
        <v>31.5</v>
      </c>
      <c r="AB34" s="13" t="n">
        <v>27.1</v>
      </c>
      <c r="AC34" s="6" t="n">
        <f aca="false">IF(AB34="","",ROUND(((AB34-AJ$11)/AJ$12)*AJ$16+AJ$15,1))</f>
        <v>28.3</v>
      </c>
      <c r="AD34" s="13" t="n">
        <v>42</v>
      </c>
      <c r="AE34" s="6" t="n">
        <f aca="false">IF(AD34="","",ROUND(((AD34-AJ$13)/AJ$14)*AJ$16+AJ$15,1))</f>
        <v>31.3</v>
      </c>
      <c r="AF34" s="14"/>
      <c r="AG34" s="14"/>
      <c r="AH34" s="12"/>
    </row>
    <row r="35" customFormat="false" ht="15" hidden="false" customHeight="true" outlineLevel="0" collapsed="false">
      <c r="A35" s="5" t="s">
        <v>29</v>
      </c>
      <c r="B35" s="5" t="s">
        <v>71</v>
      </c>
      <c r="C35" s="6" t="n">
        <f aca="false">IFERROR(ROUND(MAX(0,AVERAGE(F35,H35,J35,L35,N35)),1),"")</f>
        <v>1.4</v>
      </c>
      <c r="D35" s="7" t="n">
        <f aca="false">COUNT(E35,G35,I35,K35,M35)</f>
        <v>4</v>
      </c>
      <c r="E35" s="13" t="n">
        <v>0</v>
      </c>
      <c r="F35" s="6" t="n">
        <f aca="false">IF(E35="","",ROUND(((E35-Q$7)/Q$8)*Q$18+Q$17,1))</f>
        <v>1.7</v>
      </c>
      <c r="G35" s="13"/>
      <c r="H35" s="6" t="str">
        <f aca="false">IF(G35="","",ROUND(((G35-Q$9)/Q$10)*Q$18+Q$17,1))</f>
        <v/>
      </c>
      <c r="I35" s="13" t="n">
        <v>1</v>
      </c>
      <c r="J35" s="6" t="n">
        <f aca="false">IF(I35="","",ROUND(((I35-Q$11)/Q$12)*Q$18+Q$17,1))</f>
        <v>3.2</v>
      </c>
      <c r="K35" s="13" t="n">
        <v>303</v>
      </c>
      <c r="L35" s="6" t="n">
        <f aca="false">IF(K35="","",ROUND(((K35-Q$13)/Q$14)*Q$18+Q$17,1))</f>
        <v>0.6</v>
      </c>
      <c r="M35" s="13" t="n">
        <v>1</v>
      </c>
      <c r="N35" s="6" t="n">
        <f aca="false">IF(M35="","",ROUND(((M35-Q$15)/Q$16)*Q$18+Q$17,1))</f>
        <v>-0</v>
      </c>
      <c r="O35" s="12"/>
      <c r="T35" s="5" t="s">
        <v>29</v>
      </c>
      <c r="U35" s="5" t="s">
        <v>71</v>
      </c>
      <c r="V35" s="6" t="n">
        <f aca="false">IFERROR(ROUND(MAX(0,AVERAGE(Y35,AA35,AC35,AE35)),1),"")</f>
        <v>32.2</v>
      </c>
      <c r="W35" s="7" t="n">
        <f aca="false">COUNT(X35,Z35,AB35,AD35)</f>
        <v>4</v>
      </c>
      <c r="X35" s="13" t="n">
        <v>24</v>
      </c>
      <c r="Y35" s="6" t="n">
        <f aca="false">IF(X35="","",ROUND(((X35-AJ$7)/AJ$8)*AJ$16+AJ$15,1))</f>
        <v>30</v>
      </c>
      <c r="Z35" s="13" t="n">
        <v>10</v>
      </c>
      <c r="AA35" s="6" t="n">
        <f aca="false">IF(Z35="","",ROUND(((Z35-AJ$9)/AJ$10)*AJ$16+AJ$15,1))</f>
        <v>32.7</v>
      </c>
      <c r="AB35" s="13" t="n">
        <v>41</v>
      </c>
      <c r="AC35" s="6" t="n">
        <f aca="false">IF(AB35="","",ROUND(((AB35-AJ$11)/AJ$12)*AJ$16+AJ$15,1))</f>
        <v>39.8</v>
      </c>
      <c r="AD35" s="13" t="n">
        <v>38</v>
      </c>
      <c r="AE35" s="6" t="n">
        <f aca="false">IF(AD35="","",ROUND(((AD35-AJ$13)/AJ$14)*AJ$16+AJ$15,1))</f>
        <v>26.1</v>
      </c>
      <c r="AF35" s="14"/>
      <c r="AG35" s="14"/>
      <c r="AH35" s="12"/>
    </row>
    <row r="36" customFormat="false" ht="15" hidden="false" customHeight="true" outlineLevel="0" collapsed="false">
      <c r="A36" s="5" t="s">
        <v>29</v>
      </c>
      <c r="B36" s="5" t="s">
        <v>72</v>
      </c>
      <c r="C36" s="6" t="n">
        <f aca="false">IFERROR(ROUND(MAX(0,AVERAGE(F36,H36,J36,L36,N36)),1),"")</f>
        <v>0.8</v>
      </c>
      <c r="D36" s="7" t="n">
        <f aca="false">COUNT(E36,G36,I36,K36,M36)</f>
        <v>4</v>
      </c>
      <c r="E36" s="13" t="n">
        <v>0</v>
      </c>
      <c r="F36" s="6" t="n">
        <f aca="false">IF(E36="","",ROUND(((E36-Q$7)/Q$8)*Q$18+Q$17,1))</f>
        <v>1.7</v>
      </c>
      <c r="G36" s="13"/>
      <c r="H36" s="6" t="str">
        <f aca="false">IF(G36="","",ROUND(((G36-Q$9)/Q$10)*Q$18+Q$17,1))</f>
        <v/>
      </c>
      <c r="I36" s="13" t="n">
        <v>1</v>
      </c>
      <c r="J36" s="6" t="n">
        <f aca="false">IF(I36="","",ROUND(((I36-Q$11)/Q$12)*Q$18+Q$17,1))</f>
        <v>3.2</v>
      </c>
      <c r="K36" s="13" t="n">
        <v>192</v>
      </c>
      <c r="L36" s="6" t="n">
        <f aca="false">IF(K36="","",ROUND(((K36-Q$13)/Q$14)*Q$18+Q$17,1))</f>
        <v>-1.6</v>
      </c>
      <c r="M36" s="13" t="n">
        <v>1</v>
      </c>
      <c r="N36" s="6" t="n">
        <f aca="false">IF(M36="","",ROUND(((M36-Q$15)/Q$16)*Q$18+Q$17,1))</f>
        <v>-0</v>
      </c>
      <c r="O36" s="12"/>
      <c r="T36" s="5" t="s">
        <v>29</v>
      </c>
      <c r="U36" s="5" t="s">
        <v>72</v>
      </c>
      <c r="V36" s="6" t="n">
        <f aca="false">IFERROR(ROUND(MAX(0,AVERAGE(Y36,AA36,AC36,AE36)),1),"")</f>
        <v>25.3</v>
      </c>
      <c r="W36" s="7" t="n">
        <f aca="false">COUNT(X36,Z36,AB36,AD36)</f>
        <v>4</v>
      </c>
      <c r="X36" s="13" t="n">
        <v>16</v>
      </c>
      <c r="Y36" s="6" t="n">
        <f aca="false">IF(X36="","",ROUND(((X36-AJ$7)/AJ$8)*AJ$16+AJ$15,1))</f>
        <v>24.4</v>
      </c>
      <c r="Z36" s="13" t="n">
        <v>7</v>
      </c>
      <c r="AA36" s="6" t="n">
        <f aca="false">IF(Z36="","",ROUND(((Z36-AJ$9)/AJ$10)*AJ$16+AJ$15,1))</f>
        <v>29</v>
      </c>
      <c r="AB36" s="13" t="n">
        <v>17.5</v>
      </c>
      <c r="AC36" s="6" t="n">
        <f aca="false">IF(AB36="","",ROUND(((AB36-AJ$11)/AJ$12)*AJ$16+AJ$15,1))</f>
        <v>20.3</v>
      </c>
      <c r="AD36" s="13" t="n">
        <v>39</v>
      </c>
      <c r="AE36" s="6" t="n">
        <f aca="false">IF(AD36="","",ROUND(((AD36-AJ$13)/AJ$14)*AJ$16+AJ$15,1))</f>
        <v>27.4</v>
      </c>
      <c r="AF36" s="14"/>
      <c r="AG36" s="14"/>
      <c r="AH36" s="12"/>
    </row>
    <row r="37" customFormat="false" ht="15" hidden="false" customHeight="true" outlineLevel="0" collapsed="false">
      <c r="A37" s="5" t="s">
        <v>29</v>
      </c>
      <c r="B37" s="5" t="s">
        <v>73</v>
      </c>
      <c r="C37" s="6" t="n">
        <f aca="false">IFERROR(ROUND(MAX(0,AVERAGE(F37,H37,J37,L37,N37)),1),"")</f>
        <v>0.6</v>
      </c>
      <c r="D37" s="7" t="n">
        <f aca="false">COUNT(E37,G37,I37,K37,M37)</f>
        <v>4</v>
      </c>
      <c r="E37" s="13" t="n">
        <v>0</v>
      </c>
      <c r="F37" s="6" t="n">
        <f aca="false">IF(E37="","",ROUND(((E37-Q$7)/Q$8)*Q$18+Q$17,1))</f>
        <v>1.7</v>
      </c>
      <c r="G37" s="13"/>
      <c r="H37" s="6" t="str">
        <f aca="false">IF(G37="","",ROUND(((G37-Q$9)/Q$10)*Q$18+Q$17,1))</f>
        <v/>
      </c>
      <c r="I37" s="13" t="n">
        <v>1</v>
      </c>
      <c r="J37" s="6" t="n">
        <f aca="false">IF(I37="","",ROUND(((I37-Q$11)/Q$12)*Q$18+Q$17,1))</f>
        <v>3.2</v>
      </c>
      <c r="K37" s="13" t="n">
        <v>152</v>
      </c>
      <c r="L37" s="6" t="n">
        <f aca="false">IF(K37="","",ROUND(((K37-Q$13)/Q$14)*Q$18+Q$17,1))</f>
        <v>-2.4</v>
      </c>
      <c r="M37" s="13" t="n">
        <v>1</v>
      </c>
      <c r="N37" s="6" t="n">
        <f aca="false">IF(M37="","",ROUND(((M37-Q$15)/Q$16)*Q$18+Q$17,1))</f>
        <v>-0</v>
      </c>
      <c r="O37" s="12"/>
      <c r="T37" s="5" t="s">
        <v>29</v>
      </c>
      <c r="U37" s="5" t="s">
        <v>73</v>
      </c>
      <c r="V37" s="6" t="n">
        <f aca="false">IFERROR(ROUND(MAX(0,AVERAGE(Y37,AA37,AC37,AE37)),1),"")</f>
        <v>31.5</v>
      </c>
      <c r="W37" s="7" t="n">
        <f aca="false">COUNT(X37,Z37,AB37,AD37)</f>
        <v>4</v>
      </c>
      <c r="X37" s="13" t="n">
        <v>22</v>
      </c>
      <c r="Y37" s="6" t="n">
        <f aca="false">IF(X37="","",ROUND(((X37-AJ$7)/AJ$8)*AJ$16+AJ$15,1))</f>
        <v>28.6</v>
      </c>
      <c r="Z37" s="13" t="n">
        <v>8</v>
      </c>
      <c r="AA37" s="6" t="n">
        <f aca="false">IF(Z37="","",ROUND(((Z37-AJ$9)/AJ$10)*AJ$16+AJ$15,1))</f>
        <v>30.2</v>
      </c>
      <c r="AB37" s="13" t="n">
        <v>39.2</v>
      </c>
      <c r="AC37" s="6" t="n">
        <f aca="false">IF(AB37="","",ROUND(((AB37-AJ$11)/AJ$12)*AJ$16+AJ$15,1))</f>
        <v>38.3</v>
      </c>
      <c r="AD37" s="13" t="n">
        <v>40</v>
      </c>
      <c r="AE37" s="6" t="n">
        <f aca="false">IF(AD37="","",ROUND(((AD37-AJ$13)/AJ$14)*AJ$16+AJ$15,1))</f>
        <v>28.7</v>
      </c>
      <c r="AF37" s="14"/>
      <c r="AG37" s="14"/>
      <c r="AH3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4"/>
    <col collapsed="false" customWidth="true" hidden="false" outlineLevel="0" max="3" min="3" style="1" width="16"/>
    <col collapsed="false" customWidth="true" hidden="false" outlineLevel="0" max="4" min="4" style="1" width="10"/>
    <col collapsed="false" customWidth="true" hidden="false" outlineLevel="0" max="14" min="5" style="1" width="9"/>
    <col collapsed="false" customWidth="true" hidden="false" outlineLevel="0" max="15" min="15" style="1" width="4"/>
    <col collapsed="false" customWidth="true" hidden="false" outlineLevel="0" max="16" min="16" style="1" width="26"/>
    <col collapsed="false" customWidth="true" hidden="false" outlineLevel="0" max="17" min="17" style="1" width="9"/>
    <col collapsed="false" customWidth="true" hidden="false" outlineLevel="0" max="20" min="20" style="1" width="6"/>
    <col collapsed="false" customWidth="true" hidden="false" outlineLevel="0" max="21" min="21" style="1" width="24"/>
    <col collapsed="false" customWidth="true" hidden="false" outlineLevel="0" max="22" min="22" style="1" width="16"/>
    <col collapsed="false" customWidth="true" hidden="false" outlineLevel="0" max="23" min="23" style="1" width="10"/>
    <col collapsed="false" customWidth="true" hidden="false" outlineLevel="0" max="33" min="24" style="1" width="9"/>
    <col collapsed="false" customWidth="true" hidden="false" outlineLevel="0" max="34" min="34" style="1" width="4"/>
    <col collapsed="false" customWidth="true" hidden="false" outlineLevel="0" max="35" min="35" style="1" width="26"/>
    <col collapsed="false" customWidth="true" hidden="false" outlineLevel="0" max="36" min="36" style="1" width="9"/>
    <col collapsed="false" customWidth="true" hidden="false" outlineLevel="0" max="39" min="39" style="1" width="6"/>
    <col collapsed="false" customWidth="true" hidden="false" outlineLevel="0" max="40" min="40" style="1" width="24"/>
    <col collapsed="false" customWidth="true" hidden="false" outlineLevel="0" max="41" min="41" style="1" width="16"/>
    <col collapsed="false" customWidth="true" hidden="false" outlineLevel="0" max="42" min="42" style="1" width="10"/>
    <col collapsed="false" customWidth="true" hidden="false" outlineLevel="0" max="52" min="43" style="1" width="9"/>
    <col collapsed="false" customWidth="true" hidden="false" outlineLevel="0" max="53" min="53" style="1" width="4"/>
    <col collapsed="false" customWidth="true" hidden="false" outlineLevel="0" max="54" min="54" style="1" width="26"/>
    <col collapsed="false" customWidth="true" hidden="false" outlineLevel="0" max="55" min="55" style="1" width="9"/>
  </cols>
  <sheetData>
    <row r="1" customFormat="false" ht="17.25" hidden="false" customHeight="true" outlineLevel="0" collapsed="false">
      <c r="A1" s="2" t="s">
        <v>74</v>
      </c>
      <c r="P1" s="9" t="s">
        <v>14</v>
      </c>
      <c r="T1" s="2" t="s">
        <v>75</v>
      </c>
      <c r="AI1" s="9" t="s">
        <v>14</v>
      </c>
      <c r="AM1" s="2" t="s">
        <v>76</v>
      </c>
      <c r="BB1" s="9" t="s">
        <v>14</v>
      </c>
    </row>
    <row r="2" customFormat="false" ht="15" hidden="false" customHeight="true" outlineLevel="0" collapsed="false">
      <c r="A2" s="10" t="s">
        <v>77</v>
      </c>
      <c r="T2" s="10" t="s">
        <v>77</v>
      </c>
      <c r="AM2" s="10" t="s">
        <v>78</v>
      </c>
    </row>
    <row r="5" customFormat="false" ht="26.25" hidden="false" customHeight="true" outlineLevel="0" collapsed="false">
      <c r="A5" s="11" t="s">
        <v>17</v>
      </c>
      <c r="B5" s="11" t="s">
        <v>3</v>
      </c>
      <c r="C5" s="11" t="s">
        <v>18</v>
      </c>
      <c r="D5" s="11" t="s">
        <v>5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2"/>
      <c r="T5" s="11" t="s">
        <v>17</v>
      </c>
      <c r="U5" s="11" t="s">
        <v>3</v>
      </c>
      <c r="V5" s="11" t="s">
        <v>18</v>
      </c>
      <c r="W5" s="11" t="s">
        <v>5</v>
      </c>
      <c r="X5" s="11" t="s">
        <v>19</v>
      </c>
      <c r="Y5" s="11" t="s">
        <v>20</v>
      </c>
      <c r="Z5" s="11" t="s">
        <v>21</v>
      </c>
      <c r="AA5" s="11" t="s">
        <v>22</v>
      </c>
      <c r="AB5" s="11" t="s">
        <v>23</v>
      </c>
      <c r="AC5" s="11" t="s">
        <v>24</v>
      </c>
      <c r="AD5" s="11" t="s">
        <v>25</v>
      </c>
      <c r="AE5" s="11" t="s">
        <v>26</v>
      </c>
      <c r="AF5" s="11" t="s">
        <v>27</v>
      </c>
      <c r="AG5" s="11" t="s">
        <v>28</v>
      </c>
      <c r="AH5" s="12"/>
      <c r="AM5" s="11" t="s">
        <v>17</v>
      </c>
      <c r="AN5" s="11" t="s">
        <v>3</v>
      </c>
      <c r="AO5" s="11" t="s">
        <v>18</v>
      </c>
      <c r="AP5" s="11" t="s">
        <v>5</v>
      </c>
      <c r="AQ5" s="11" t="s">
        <v>21</v>
      </c>
      <c r="AR5" s="11" t="s">
        <v>22</v>
      </c>
      <c r="AS5" s="11" t="s">
        <v>27</v>
      </c>
      <c r="AT5" s="11" t="s">
        <v>28</v>
      </c>
      <c r="BA5" s="12"/>
    </row>
    <row r="6" customFormat="false" ht="15" hidden="false" customHeight="true" outlineLevel="0" collapsed="false">
      <c r="A6" s="5" t="s">
        <v>79</v>
      </c>
      <c r="B6" s="5" t="s">
        <v>80</v>
      </c>
      <c r="C6" s="6" t="n">
        <f aca="false">IFERROR(ROUND(MAX(0,AVERAGE(F6,H6,J6,L6,N6)),1),"")</f>
        <v>81.8</v>
      </c>
      <c r="D6" s="7" t="n">
        <f aca="false">COUNT(E6,G6,I6,K6,M6)</f>
        <v>5</v>
      </c>
      <c r="E6" s="13" t="n">
        <v>97</v>
      </c>
      <c r="F6" s="6" t="n">
        <f aca="false">IF(E6="","",ROUND(((E6-Q$7)/Q$8)*Q$18+Q$17,1))</f>
        <v>83.4</v>
      </c>
      <c r="G6" s="13" t="n">
        <v>54</v>
      </c>
      <c r="H6" s="6" t="n">
        <f aca="false">IF(G6="","",ROUND(((G6-Q$9)/Q$10)*Q$18+Q$17,1))</f>
        <v>80.9</v>
      </c>
      <c r="I6" s="17" t="n">
        <v>77.5</v>
      </c>
      <c r="J6" s="6" t="n">
        <f aca="false">IF(I6="","",ROUND(((I6-Q$11)/Q$12)*Q$18+Q$17,1))</f>
        <v>78.9</v>
      </c>
      <c r="K6" s="13" t="n">
        <v>3691</v>
      </c>
      <c r="L6" s="6" t="n">
        <f aca="false">IF(K6="","",ROUND(((K6-Q$13)/Q$14)*Q$18+Q$17,1))</f>
        <v>85.6</v>
      </c>
      <c r="M6" s="13" t="n">
        <v>80</v>
      </c>
      <c r="N6" s="6" t="n">
        <f aca="false">IF(M6="","",ROUND(((M6-Q$15)/Q$16)*Q$18+Q$17,1))</f>
        <v>80</v>
      </c>
      <c r="O6" s="12"/>
      <c r="T6" s="5" t="s">
        <v>79</v>
      </c>
      <c r="U6" s="5" t="s">
        <v>80</v>
      </c>
      <c r="V6" s="6" t="n">
        <f aca="false">IFERROR(MIN(ROUND(MAX(0,AVERAGE(Y6,AA6,AC6,AE6,AG6)),1),81.7),"")</f>
        <v>79.3</v>
      </c>
      <c r="W6" s="7" t="n">
        <f aca="false">COUNT(X6,Z6,AB6,AD6,AF6)</f>
        <v>5</v>
      </c>
      <c r="X6" s="13" t="n">
        <v>94</v>
      </c>
      <c r="Y6" s="6" t="n">
        <f aca="false">IF(X6="","",ROUND(((X6-AJ$7)/AJ$8)*AJ$18+AJ$17,1))</f>
        <v>80.7</v>
      </c>
      <c r="Z6" s="13" t="n">
        <v>52.5</v>
      </c>
      <c r="AA6" s="6" t="n">
        <f aca="false">IF(Z6="","",ROUND(((Z6-AJ$9)/AJ$10)*AJ$18+AJ$17,1))</f>
        <v>79.1</v>
      </c>
      <c r="AB6" s="13" t="n">
        <v>75.1</v>
      </c>
      <c r="AC6" s="6" t="n">
        <f aca="false">IF(AB6="","",ROUND(((AB6-AJ$11)/AJ$12)*AJ$18+AJ$17,1))</f>
        <v>77.6</v>
      </c>
      <c r="AD6" s="17" t="n">
        <v>3576.8</v>
      </c>
      <c r="AE6" s="6" t="n">
        <f aca="false">IF(AD6="","",ROUND(((AD6-AJ$13)/AJ$14)*AJ$18+AJ$17,1))</f>
        <v>82.2</v>
      </c>
      <c r="AF6" s="13" t="n">
        <v>77</v>
      </c>
      <c r="AG6" s="6" t="n">
        <f aca="false">IF(AF6="","",ROUND(((AF6-AJ$15)/AJ$16)*AJ$18+AJ$17,1))</f>
        <v>77</v>
      </c>
      <c r="AH6" s="12"/>
      <c r="AM6" s="5" t="s">
        <v>79</v>
      </c>
      <c r="AN6" s="5" t="s">
        <v>80</v>
      </c>
      <c r="AO6" s="6" t="n">
        <f aca="false">IFERROR(ROUND(MAX(0,AVERAGE(AR6,AT6)),1),"")</f>
        <v>59.7</v>
      </c>
      <c r="AP6" s="7" t="n">
        <f aca="false">COUNT(AQ6,AS6)</f>
        <v>2</v>
      </c>
      <c r="AQ6" s="13" t="n">
        <v>51</v>
      </c>
      <c r="AR6" s="6" t="n">
        <f aca="false">IF(AQ6="","",ROUND(((AQ6-BC$7)/BC$8)*BC$12+BC$11,1))</f>
        <v>61.7</v>
      </c>
      <c r="AS6" s="13" t="n">
        <v>75</v>
      </c>
      <c r="AT6" s="6" t="n">
        <f aca="false">IF(AS6="","",ROUND(((AS6-BC$9)/BC$10)*BC$12+BC$11,1))</f>
        <v>57.7</v>
      </c>
      <c r="AU6" s="14"/>
      <c r="AV6" s="14"/>
      <c r="AW6" s="14"/>
      <c r="AX6" s="14"/>
      <c r="AY6" s="14"/>
      <c r="AZ6" s="14"/>
      <c r="BA6" s="12"/>
    </row>
    <row r="7" customFormat="false" ht="15" hidden="false" customHeight="true" outlineLevel="0" collapsed="false">
      <c r="A7" s="5" t="s">
        <v>79</v>
      </c>
      <c r="B7" s="5" t="s">
        <v>81</v>
      </c>
      <c r="C7" s="6" t="n">
        <f aca="false">IFERROR(ROUND(MAX(0,AVERAGE(F7,H7,J7,L7,N7)),1),"")</f>
        <v>75.8</v>
      </c>
      <c r="D7" s="7" t="n">
        <f aca="false">COUNT(E7,G7,I7,K7,M7)</f>
        <v>5</v>
      </c>
      <c r="E7" s="13" t="n">
        <v>90</v>
      </c>
      <c r="F7" s="6" t="n">
        <f aca="false">IF(E7="","",ROUND(((E7-Q$7)/Q$8)*Q$18+Q$17,1))</f>
        <v>77.4</v>
      </c>
      <c r="G7" s="13" t="n">
        <v>53</v>
      </c>
      <c r="H7" s="6" t="n">
        <f aca="false">IF(G7="","",ROUND(((G7-Q$9)/Q$10)*Q$18+Q$17,1))</f>
        <v>79.5</v>
      </c>
      <c r="I7" s="17" t="n">
        <v>69.5</v>
      </c>
      <c r="J7" s="6" t="n">
        <f aca="false">IF(I7="","",ROUND(((I7-Q$11)/Q$12)*Q$18+Q$17,1))</f>
        <v>70.2</v>
      </c>
      <c r="K7" s="13" t="n">
        <v>3359</v>
      </c>
      <c r="L7" s="6" t="n">
        <f aca="false">IF(K7="","",ROUND(((K7-Q$13)/Q$14)*Q$18+Q$17,1))</f>
        <v>77.9</v>
      </c>
      <c r="M7" s="13" t="n">
        <v>74</v>
      </c>
      <c r="N7" s="6" t="n">
        <f aca="false">IF(M7="","",ROUND(((M7-Q$15)/Q$16)*Q$18+Q$17,1))</f>
        <v>74</v>
      </c>
      <c r="O7" s="12"/>
      <c r="P7" s="9" t="s">
        <v>32</v>
      </c>
      <c r="Q7" s="15" t="n">
        <f aca="false">IFERROR(AVERAGE(E6:E400),"")</f>
        <v>30.1</v>
      </c>
      <c r="T7" s="5" t="s">
        <v>79</v>
      </c>
      <c r="U7" s="5" t="s">
        <v>81</v>
      </c>
      <c r="V7" s="6" t="n">
        <f aca="false">IFERROR(MIN(ROUND(MAX(0,AVERAGE(Y7,AA7,AC7,AE7,AG7)),1),75.7),"")</f>
        <v>73.8</v>
      </c>
      <c r="W7" s="7" t="n">
        <f aca="false">COUNT(X7,Z7,AB7,AD7,AF7)</f>
        <v>5</v>
      </c>
      <c r="X7" s="13" t="n">
        <v>87</v>
      </c>
      <c r="Y7" s="6" t="n">
        <f aca="false">IF(X7="","",ROUND(((X7-AJ$7)/AJ$8)*AJ$18+AJ$17,1))</f>
        <v>74.8</v>
      </c>
      <c r="Z7" s="13" t="n">
        <v>51.5</v>
      </c>
      <c r="AA7" s="6" t="n">
        <f aca="false">IF(Z7="","",ROUND(((Z7-AJ$9)/AJ$10)*AJ$18+AJ$17,1))</f>
        <v>77.7</v>
      </c>
      <c r="AB7" s="13" t="n">
        <v>67.5</v>
      </c>
      <c r="AC7" s="6" t="n">
        <f aca="false">IF(AB7="","",ROUND(((AB7-AJ$11)/AJ$12)*AJ$18+AJ$17,1))</f>
        <v>69.3</v>
      </c>
      <c r="AD7" s="17" t="n">
        <v>3263.9</v>
      </c>
      <c r="AE7" s="6" t="n">
        <f aca="false">IF(AD7="","",ROUND(((AD7-AJ$13)/AJ$14)*AJ$18+AJ$17,1))</f>
        <v>75.1</v>
      </c>
      <c r="AF7" s="13" t="n">
        <v>72</v>
      </c>
      <c r="AG7" s="6" t="n">
        <f aca="false">IF(AF7="","",ROUND(((AF7-AJ$15)/AJ$16)*AJ$18+AJ$17,1))</f>
        <v>72</v>
      </c>
      <c r="AH7" s="12"/>
      <c r="AI7" s="9" t="s">
        <v>32</v>
      </c>
      <c r="AJ7" s="15" t="n">
        <f aca="false">IFERROR(AVERAGE(X6:X400),"")</f>
        <v>29.0689655172414</v>
      </c>
      <c r="AM7" s="5" t="s">
        <v>79</v>
      </c>
      <c r="AN7" s="5" t="s">
        <v>81</v>
      </c>
      <c r="AO7" s="6" t="n">
        <f aca="false">IFERROR(ROUND(MAX(0,AVERAGE(AR7,AT7)),1),"")</f>
        <v>56.9</v>
      </c>
      <c r="AP7" s="7" t="n">
        <f aca="false">COUNT(AQ7,AS7)</f>
        <v>2</v>
      </c>
      <c r="AQ7" s="13" t="n">
        <v>50</v>
      </c>
      <c r="AR7" s="6" t="n">
        <f aca="false">IF(AQ7="","",ROUND(((AQ7-BC$7)/BC$8)*BC$12+BC$11,1))</f>
        <v>60.5</v>
      </c>
      <c r="AS7" s="13" t="n">
        <v>70</v>
      </c>
      <c r="AT7" s="6" t="n">
        <f aca="false">IF(AS7="","",ROUND(((AS7-BC$9)/BC$10)*BC$12+BC$11,1))</f>
        <v>53.3</v>
      </c>
      <c r="AU7" s="14"/>
      <c r="AV7" s="14"/>
      <c r="AW7" s="14"/>
      <c r="AX7" s="14"/>
      <c r="AY7" s="14"/>
      <c r="AZ7" s="14"/>
      <c r="BA7" s="12"/>
      <c r="BB7" s="9" t="s">
        <v>36</v>
      </c>
      <c r="BC7" s="15" t="n">
        <f aca="false">IFERROR(AVERAGE(AQ6:AQ400),"")</f>
        <v>16.2666666666667</v>
      </c>
    </row>
    <row r="8" customFormat="false" ht="15" hidden="false" customHeight="true" outlineLevel="0" collapsed="false">
      <c r="A8" s="5" t="s">
        <v>79</v>
      </c>
      <c r="B8" s="5" t="s">
        <v>82</v>
      </c>
      <c r="C8" s="6" t="n">
        <f aca="false">IFERROR(ROUND(MAX(0,AVERAGE(F8,H8,J8,L8,N8)),1),"")</f>
        <v>73.1</v>
      </c>
      <c r="D8" s="7" t="n">
        <f aca="false">COUNT(E8,G8,I8,K8,M8)</f>
        <v>5</v>
      </c>
      <c r="E8" s="13" t="n">
        <v>85</v>
      </c>
      <c r="F8" s="6" t="n">
        <f aca="false">IF(E8="","",ROUND(((E8-Q$7)/Q$8)*Q$18+Q$17,1))</f>
        <v>73.2</v>
      </c>
      <c r="G8" s="13" t="n">
        <v>50</v>
      </c>
      <c r="H8" s="6" t="n">
        <f aca="false">IF(G8="","",ROUND(((G8-Q$9)/Q$10)*Q$18+Q$17,1))</f>
        <v>75.1</v>
      </c>
      <c r="I8" s="17" t="n">
        <v>62.8</v>
      </c>
      <c r="J8" s="6" t="n">
        <f aca="false">IF(I8="","",ROUND(((I8-Q$11)/Q$12)*Q$18+Q$17,1))</f>
        <v>62.9</v>
      </c>
      <c r="K8" s="13" t="n">
        <v>3462</v>
      </c>
      <c r="L8" s="6" t="n">
        <f aca="false">IF(K8="","",ROUND(((K8-Q$13)/Q$14)*Q$18+Q$17,1))</f>
        <v>80.3</v>
      </c>
      <c r="M8" s="13" t="n">
        <v>74</v>
      </c>
      <c r="N8" s="6" t="n">
        <f aca="false">IF(M8="","",ROUND(((M8-Q$15)/Q$16)*Q$18+Q$17,1))</f>
        <v>74</v>
      </c>
      <c r="O8" s="12"/>
      <c r="P8" s="9" t="s">
        <v>34</v>
      </c>
      <c r="Q8" s="16" t="n">
        <f aca="false">IFERROR(STDEVP(E6:E400),"")</f>
        <v>23.8828390272178</v>
      </c>
      <c r="T8" s="5" t="s">
        <v>79</v>
      </c>
      <c r="U8" s="5" t="s">
        <v>82</v>
      </c>
      <c r="V8" s="6" t="n">
        <f aca="false">IFERROR(MIN(ROUND(MAX(0,AVERAGE(Y8,AA8,AC8,AE8,AG8)),1),73),"")</f>
        <v>71.1</v>
      </c>
      <c r="W8" s="7" t="n">
        <f aca="false">COUNT(X8,Z8,AB8,AD8,AF8)</f>
        <v>5</v>
      </c>
      <c r="X8" s="13" t="n">
        <v>82</v>
      </c>
      <c r="Y8" s="6" t="n">
        <f aca="false">IF(X8="","",ROUND(((X8-AJ$7)/AJ$8)*AJ$18+AJ$17,1))</f>
        <v>70.6</v>
      </c>
      <c r="Z8" s="13" t="n">
        <v>48.5</v>
      </c>
      <c r="AA8" s="6" t="n">
        <f aca="false">IF(Z8="","",ROUND(((Z8-AJ$9)/AJ$10)*AJ$18+AJ$17,1))</f>
        <v>73.3</v>
      </c>
      <c r="AB8" s="13" t="n">
        <v>60.9</v>
      </c>
      <c r="AC8" s="6" t="n">
        <f aca="false">IF(AB8="","",ROUND(((AB8-AJ$11)/AJ$12)*AJ$18+AJ$17,1))</f>
        <v>62.2</v>
      </c>
      <c r="AD8" s="17" t="n">
        <v>3358.1</v>
      </c>
      <c r="AE8" s="6" t="n">
        <f aca="false">IF(AD8="","",ROUND(((AD8-AJ$13)/AJ$14)*AJ$18+AJ$17,1))</f>
        <v>77.2</v>
      </c>
      <c r="AF8" s="13" t="n">
        <v>72</v>
      </c>
      <c r="AG8" s="6" t="n">
        <f aca="false">IF(AF8="","",ROUND(((AF8-AJ$15)/AJ$16)*AJ$18+AJ$17,1))</f>
        <v>72</v>
      </c>
      <c r="AH8" s="12"/>
      <c r="AI8" s="9" t="s">
        <v>34</v>
      </c>
      <c r="AJ8" s="16" t="n">
        <f aca="false">IFERROR(STDEVP(X6:X400),"")</f>
        <v>23.4982479676791</v>
      </c>
      <c r="AM8" s="5" t="s">
        <v>79</v>
      </c>
      <c r="AN8" s="5" t="s">
        <v>82</v>
      </c>
      <c r="AO8" s="6" t="n">
        <f aca="false">IFERROR(ROUND(MAX(0,AVERAGE(AR8,AT8)),1),"")</f>
        <v>55</v>
      </c>
      <c r="AP8" s="7" t="n">
        <f aca="false">COUNT(AQ8,AS8)</f>
        <v>2</v>
      </c>
      <c r="AQ8" s="13" t="n">
        <v>47</v>
      </c>
      <c r="AR8" s="6" t="n">
        <f aca="false">IF(AQ8="","",ROUND(((AQ8-BC$7)/BC$8)*BC$12+BC$11,1))</f>
        <v>56.7</v>
      </c>
      <c r="AS8" s="13" t="n">
        <v>70</v>
      </c>
      <c r="AT8" s="6" t="n">
        <f aca="false">IF(AS8="","",ROUND(((AS8-BC$9)/BC$10)*BC$12+BC$11,1))</f>
        <v>53.3</v>
      </c>
      <c r="AU8" s="14"/>
      <c r="AV8" s="14"/>
      <c r="AW8" s="14"/>
      <c r="AX8" s="14"/>
      <c r="AY8" s="14"/>
      <c r="AZ8" s="14"/>
      <c r="BA8" s="12"/>
      <c r="BB8" s="9" t="s">
        <v>38</v>
      </c>
      <c r="BC8" s="16" t="n">
        <f aca="false">IFERROR(STDEVP(AQ6:AQ400),"")</f>
        <v>13.1966325671025</v>
      </c>
    </row>
    <row r="9" customFormat="false" ht="15" hidden="false" customHeight="true" outlineLevel="0" collapsed="false">
      <c r="A9" s="5" t="s">
        <v>79</v>
      </c>
      <c r="B9" s="5" t="s">
        <v>83</v>
      </c>
      <c r="C9" s="6" t="n">
        <f aca="false">IFERROR(ROUND(MAX(0,AVERAGE(F9,H9,J9,L9,N9)),1),"")</f>
        <v>59.4</v>
      </c>
      <c r="D9" s="7" t="n">
        <f aca="false">COUNT(E9,G9,I9,K9,M9)</f>
        <v>5</v>
      </c>
      <c r="E9" s="13" t="n">
        <v>76</v>
      </c>
      <c r="F9" s="6" t="n">
        <f aca="false">IF(E9="","",ROUND(((E9-Q$7)/Q$8)*Q$18+Q$17,1))</f>
        <v>65.5</v>
      </c>
      <c r="G9" s="13" t="n">
        <v>37</v>
      </c>
      <c r="H9" s="6" t="n">
        <f aca="false">IF(G9="","",ROUND(((G9-Q$9)/Q$10)*Q$18+Q$17,1))</f>
        <v>56</v>
      </c>
      <c r="I9" s="17" t="n">
        <v>51.9</v>
      </c>
      <c r="J9" s="6" t="n">
        <f aca="false">IF(I9="","",ROUND(((I9-Q$11)/Q$12)*Q$18+Q$17,1))</f>
        <v>51.1</v>
      </c>
      <c r="K9" s="13" t="n">
        <v>2688</v>
      </c>
      <c r="L9" s="6" t="n">
        <f aca="false">IF(K9="","",ROUND(((K9-Q$13)/Q$14)*Q$18+Q$17,1))</f>
        <v>62.5</v>
      </c>
      <c r="M9" s="13" t="n">
        <v>62</v>
      </c>
      <c r="N9" s="6" t="n">
        <f aca="false">IF(M9="","",ROUND(((M9-Q$15)/Q$16)*Q$18+Q$17,1))</f>
        <v>62</v>
      </c>
      <c r="O9" s="12"/>
      <c r="P9" s="9" t="s">
        <v>36</v>
      </c>
      <c r="Q9" s="15" t="n">
        <f aca="false">IFERROR(AVERAGE(G6:G400),"")</f>
        <v>16.8085106382979</v>
      </c>
      <c r="T9" s="5" t="s">
        <v>79</v>
      </c>
      <c r="U9" s="5" t="s">
        <v>83</v>
      </c>
      <c r="V9" s="6" t="n">
        <f aca="false">IFERROR(MIN(ROUND(MAX(0,AVERAGE(Y9,AA9,AC9,AE9,AG9)),1),59.4),"")</f>
        <v>58.2</v>
      </c>
      <c r="W9" s="7" t="n">
        <f aca="false">COUNT(X9,Z9,AB9,AD9,AF9)</f>
        <v>5</v>
      </c>
      <c r="X9" s="13" t="n">
        <v>74</v>
      </c>
      <c r="Y9" s="6" t="n">
        <f aca="false">IF(X9="","",ROUND(((X9-AJ$7)/AJ$8)*AJ$18+AJ$17,1))</f>
        <v>63.9</v>
      </c>
      <c r="Z9" s="13" t="n">
        <v>36.5</v>
      </c>
      <c r="AA9" s="6" t="n">
        <f aca="false">IF(Z9="","",ROUND(((Z9-AJ$9)/AJ$10)*AJ$18+AJ$17,1))</f>
        <v>55.7</v>
      </c>
      <c r="AB9" s="13" t="n">
        <v>50.5</v>
      </c>
      <c r="AC9" s="6" t="n">
        <f aca="false">IF(AB9="","",ROUND(((AB9-AJ$11)/AJ$12)*AJ$18+AJ$17,1))</f>
        <v>50.9</v>
      </c>
      <c r="AD9" s="17" t="n">
        <v>2617.3</v>
      </c>
      <c r="AE9" s="6" t="n">
        <f aca="false">IF(AD9="","",ROUND(((AD9-AJ$13)/AJ$14)*AJ$18+AJ$17,1))</f>
        <v>60.3</v>
      </c>
      <c r="AF9" s="13" t="n">
        <v>60</v>
      </c>
      <c r="AG9" s="6" t="n">
        <f aca="false">IF(AF9="","",ROUND(((AF9-AJ$15)/AJ$16)*AJ$18+AJ$17,1))</f>
        <v>60</v>
      </c>
      <c r="AH9" s="12"/>
      <c r="AI9" s="9" t="s">
        <v>36</v>
      </c>
      <c r="AJ9" s="15" t="n">
        <f aca="false">IFERROR(AVERAGE(Z6:Z400),"")</f>
        <v>16.2765957446809</v>
      </c>
      <c r="AM9" s="5" t="s">
        <v>79</v>
      </c>
      <c r="AN9" s="5" t="s">
        <v>84</v>
      </c>
      <c r="AO9" s="6" t="n">
        <f aca="false">IFERROR(ROUND(MAX(0,AVERAGE(AR9,AT9)),1),"")</f>
        <v>45.2</v>
      </c>
      <c r="AP9" s="7" t="n">
        <f aca="false">COUNT(AQ9,AS9)</f>
        <v>2</v>
      </c>
      <c r="AQ9" s="13" t="n">
        <v>39</v>
      </c>
      <c r="AR9" s="6" t="n">
        <f aca="false">IF(AQ9="","",ROUND(((AQ9-BC$7)/BC$8)*BC$12+BC$11,1))</f>
        <v>46.8</v>
      </c>
      <c r="AS9" s="13" t="n">
        <v>59</v>
      </c>
      <c r="AT9" s="6" t="n">
        <f aca="false">IF(AS9="","",ROUND(((AS9-BC$9)/BC$10)*BC$12+BC$11,1))</f>
        <v>43.6</v>
      </c>
      <c r="AU9" s="14"/>
      <c r="AV9" s="14"/>
      <c r="AW9" s="14"/>
      <c r="AX9" s="14"/>
      <c r="AY9" s="14"/>
      <c r="AZ9" s="14"/>
      <c r="BA9" s="12"/>
      <c r="BB9" s="9" t="s">
        <v>45</v>
      </c>
      <c r="BC9" s="15" t="n">
        <f aca="false">IFERROR(AVERAGE(AS6:AS400),"")</f>
        <v>30.7111111111111</v>
      </c>
    </row>
    <row r="10" customFormat="false" ht="15" hidden="false" customHeight="true" outlineLevel="0" collapsed="false">
      <c r="A10" s="5" t="s">
        <v>79</v>
      </c>
      <c r="B10" s="5" t="s">
        <v>85</v>
      </c>
      <c r="C10" s="6" t="n">
        <f aca="false">IFERROR(ROUND(MAX(0,AVERAGE(F10,H10,J10,L10,N10)),1),"")</f>
        <v>59.2</v>
      </c>
      <c r="D10" s="7" t="n">
        <f aca="false">COUNT(E10,G10,I10,K10,M10)</f>
        <v>5</v>
      </c>
      <c r="E10" s="13" t="n">
        <v>69</v>
      </c>
      <c r="F10" s="6" t="n">
        <f aca="false">IF(E10="","",ROUND(((E10-Q$7)/Q$8)*Q$18+Q$17,1))</f>
        <v>59.5</v>
      </c>
      <c r="G10" s="13" t="n">
        <v>38</v>
      </c>
      <c r="H10" s="6" t="n">
        <f aca="false">IF(G10="","",ROUND(((G10-Q$9)/Q$10)*Q$18+Q$17,1))</f>
        <v>57.5</v>
      </c>
      <c r="I10" s="17" t="n">
        <v>60.1</v>
      </c>
      <c r="J10" s="6" t="n">
        <f aca="false">IF(I10="","",ROUND(((I10-Q$11)/Q$12)*Q$18+Q$17,1))</f>
        <v>60</v>
      </c>
      <c r="K10" s="13" t="n">
        <v>2487</v>
      </c>
      <c r="L10" s="6" t="n">
        <f aca="false">IF(K10="","",ROUND(((K10-Q$13)/Q$14)*Q$18+Q$17,1))</f>
        <v>57.8</v>
      </c>
      <c r="M10" s="13" t="n">
        <v>61</v>
      </c>
      <c r="N10" s="6" t="n">
        <f aca="false">IF(M10="","",ROUND(((M10-Q$15)/Q$16)*Q$18+Q$17,1))</f>
        <v>61</v>
      </c>
      <c r="O10" s="12"/>
      <c r="P10" s="9" t="s">
        <v>38</v>
      </c>
      <c r="Q10" s="16" t="n">
        <f aca="false">IFERROR(STDEVP(G6:G400),"")</f>
        <v>13.8727320137918</v>
      </c>
      <c r="T10" s="5" t="s">
        <v>79</v>
      </c>
      <c r="U10" s="5" t="s">
        <v>85</v>
      </c>
      <c r="V10" s="6" t="n">
        <f aca="false">IFERROR(MIN(ROUND(MAX(0,AVERAGE(Y10,AA10,AC10,AE10,AG10)),1),59.1),"")</f>
        <v>58.6</v>
      </c>
      <c r="W10" s="7" t="n">
        <f aca="false">COUNT(X10,Z10,AB10,AD10,AF10)</f>
        <v>5</v>
      </c>
      <c r="X10" s="13" t="n">
        <v>67</v>
      </c>
      <c r="Y10" s="6" t="n">
        <f aca="false">IF(X10="","",ROUND(((X10-AJ$7)/AJ$8)*AJ$18+AJ$17,1))</f>
        <v>58</v>
      </c>
      <c r="Z10" s="13" t="n">
        <v>37.5</v>
      </c>
      <c r="AA10" s="6" t="n">
        <f aca="false">IF(Z10="","",ROUND(((Z10-AJ$9)/AJ$10)*AJ$18+AJ$17,1))</f>
        <v>57.1</v>
      </c>
      <c r="AB10" s="13" t="n">
        <v>59.3</v>
      </c>
      <c r="AC10" s="6" t="n">
        <f aca="false">IF(AB10="","",ROUND(((AB10-AJ$11)/AJ$12)*AJ$18+AJ$17,1))</f>
        <v>60.4</v>
      </c>
      <c r="AD10" s="17" t="n">
        <v>2454.3</v>
      </c>
      <c r="AE10" s="6" t="n">
        <f aca="false">IF(AD10="","",ROUND(((AD10-AJ$13)/AJ$14)*AJ$18+AJ$17,1))</f>
        <v>56.6</v>
      </c>
      <c r="AF10" s="13" t="n">
        <v>61</v>
      </c>
      <c r="AG10" s="6" t="n">
        <f aca="false">IF(AF10="","",ROUND(((AF10-AJ$15)/AJ$16)*AJ$18+AJ$17,1))</f>
        <v>61</v>
      </c>
      <c r="AH10" s="12"/>
      <c r="AI10" s="9" t="s">
        <v>38</v>
      </c>
      <c r="AJ10" s="16" t="n">
        <f aca="false">IFERROR(STDEVP(Z6:Z400),"")</f>
        <v>13.5044706981273</v>
      </c>
      <c r="AM10" s="5" t="s">
        <v>79</v>
      </c>
      <c r="AN10" s="5" t="s">
        <v>85</v>
      </c>
      <c r="AO10" s="6" t="n">
        <f aca="false">IFERROR(ROUND(MAX(0,AVERAGE(AR10,AT10)),1),"")</f>
        <v>44.8</v>
      </c>
      <c r="AP10" s="7" t="n">
        <f aca="false">COUNT(AQ10,AS10)</f>
        <v>2</v>
      </c>
      <c r="AQ10" s="13" t="n">
        <v>37</v>
      </c>
      <c r="AR10" s="6" t="n">
        <f aca="false">IF(AQ10="","",ROUND(((AQ10-BC$7)/BC$8)*BC$12+BC$11,1))</f>
        <v>44.3</v>
      </c>
      <c r="AS10" s="13" t="n">
        <v>61</v>
      </c>
      <c r="AT10" s="6" t="n">
        <f aca="false">IF(AS10="","",ROUND(((AS10-BC$9)/BC$10)*BC$12+BC$11,1))</f>
        <v>45.3</v>
      </c>
      <c r="AU10" s="14"/>
      <c r="AV10" s="14"/>
      <c r="AW10" s="14"/>
      <c r="AX10" s="14"/>
      <c r="AY10" s="14"/>
      <c r="AZ10" s="14"/>
      <c r="BA10" s="12"/>
      <c r="BB10" s="9" t="s">
        <v>48</v>
      </c>
      <c r="BC10" s="16" t="n">
        <f aca="false">IFERROR(STDEVP(AS6:AS400),"")</f>
        <v>18.5431894921885</v>
      </c>
    </row>
    <row r="11" customFormat="false" ht="15" hidden="false" customHeight="true" outlineLevel="0" collapsed="false">
      <c r="A11" s="5" t="s">
        <v>79</v>
      </c>
      <c r="B11" s="5" t="s">
        <v>84</v>
      </c>
      <c r="C11" s="6" t="n">
        <f aca="false">IFERROR(ROUND(MAX(0,AVERAGE(F11,H11,J11,L11,N11)),1),"")</f>
        <v>58.2</v>
      </c>
      <c r="D11" s="7" t="n">
        <f aca="false">COUNT(E11,G11,I11,K11,M11)</f>
        <v>5</v>
      </c>
      <c r="E11" s="13" t="n">
        <v>70</v>
      </c>
      <c r="F11" s="6" t="n">
        <f aca="false">IF(E11="","",ROUND(((E11-Q$7)/Q$8)*Q$18+Q$17,1))</f>
        <v>60.4</v>
      </c>
      <c r="G11" s="13" t="n">
        <v>39</v>
      </c>
      <c r="H11" s="6" t="n">
        <f aca="false">IF(G11="","",ROUND(((G11-Q$9)/Q$10)*Q$18+Q$17,1))</f>
        <v>59</v>
      </c>
      <c r="I11" s="17" t="n">
        <v>52.3</v>
      </c>
      <c r="J11" s="6" t="n">
        <f aca="false">IF(I11="","",ROUND(((I11-Q$11)/Q$12)*Q$18+Q$17,1))</f>
        <v>51.6</v>
      </c>
      <c r="K11" s="13" t="n">
        <v>2621</v>
      </c>
      <c r="L11" s="6" t="n">
        <f aca="false">IF(K11="","",ROUND(((K11-Q$13)/Q$14)*Q$18+Q$17,1))</f>
        <v>60.9</v>
      </c>
      <c r="M11" s="13" t="n">
        <v>59</v>
      </c>
      <c r="N11" s="6" t="n">
        <f aca="false">IF(M11="","",ROUND(((M11-Q$15)/Q$16)*Q$18+Q$17,1))</f>
        <v>59</v>
      </c>
      <c r="O11" s="12"/>
      <c r="P11" s="9" t="s">
        <v>40</v>
      </c>
      <c r="Q11" s="15" t="n">
        <f aca="false">IFERROR(AVERAGE(I6:I400),"")</f>
        <v>29.0882352941177</v>
      </c>
      <c r="T11" s="5" t="s">
        <v>79</v>
      </c>
      <c r="U11" s="5" t="s">
        <v>84</v>
      </c>
      <c r="V11" s="6" t="n">
        <f aca="false">IFERROR(MIN(ROUND(MAX(0,AVERAGE(Y11,AA11,AC11,AE11,AG11)),1),58.1),"")</f>
        <v>58.1</v>
      </c>
      <c r="W11" s="7" t="n">
        <f aca="false">COUNT(X11,Z11,AB11,AD11,AF11)</f>
        <v>5</v>
      </c>
      <c r="X11" s="13" t="n">
        <v>68</v>
      </c>
      <c r="Y11" s="6" t="n">
        <f aca="false">IF(X11="","",ROUND(((X11-AJ$7)/AJ$8)*AJ$18+AJ$17,1))</f>
        <v>58.8</v>
      </c>
      <c r="Z11" s="13" t="n">
        <v>39</v>
      </c>
      <c r="AA11" s="6" t="n">
        <f aca="false">IF(Z11="","",ROUND(((Z11-AJ$9)/AJ$10)*AJ$18+AJ$17,1))</f>
        <v>59.3</v>
      </c>
      <c r="AB11" s="13" t="n">
        <v>52.3</v>
      </c>
      <c r="AC11" s="6" t="n">
        <f aca="false">IF(AB11="","",ROUND(((AB11-AJ$11)/AJ$12)*AJ$18+AJ$17,1))</f>
        <v>52.8</v>
      </c>
      <c r="AD11" s="17" t="n">
        <v>2621</v>
      </c>
      <c r="AE11" s="6" t="n">
        <f aca="false">IF(AD11="","",ROUND(((AD11-AJ$13)/AJ$14)*AJ$18+AJ$17,1))</f>
        <v>60.4</v>
      </c>
      <c r="AF11" s="13" t="n">
        <v>59</v>
      </c>
      <c r="AG11" s="6" t="n">
        <f aca="false">IF(AF11="","",ROUND(((AF11-AJ$15)/AJ$16)*AJ$18+AJ$17,1))</f>
        <v>59</v>
      </c>
      <c r="AH11" s="12"/>
      <c r="AI11" s="9" t="s">
        <v>40</v>
      </c>
      <c r="AJ11" s="15" t="n">
        <f aca="false">IFERROR(AVERAGE(AB6:AB400),"")</f>
        <v>27.6096153846154</v>
      </c>
      <c r="AM11" s="5" t="s">
        <v>79</v>
      </c>
      <c r="AN11" s="5" t="s">
        <v>83</v>
      </c>
      <c r="AO11" s="6" t="n">
        <f aca="false">IFERROR(ROUND(MAX(0,AVERAGE(AR11,AT11)),1),"")</f>
        <v>43.4</v>
      </c>
      <c r="AP11" s="7" t="n">
        <f aca="false">COUNT(AQ11,AS11)</f>
        <v>2</v>
      </c>
      <c r="AQ11" s="13" t="n">
        <v>36</v>
      </c>
      <c r="AR11" s="6" t="n">
        <f aca="false">IF(AQ11="","",ROUND(((AQ11-BC$7)/BC$8)*BC$12+BC$11,1))</f>
        <v>43.1</v>
      </c>
      <c r="AS11" s="13" t="n">
        <v>59</v>
      </c>
      <c r="AT11" s="6" t="n">
        <f aca="false">IF(AS11="","",ROUND(((AS11-BC$9)/BC$10)*BC$12+BC$11,1))</f>
        <v>43.6</v>
      </c>
      <c r="AU11" s="14"/>
      <c r="AV11" s="14"/>
      <c r="AW11" s="14"/>
      <c r="AX11" s="14"/>
      <c r="AY11" s="14"/>
      <c r="AZ11" s="14"/>
      <c r="BA11" s="12"/>
      <c r="BB11" s="9" t="s">
        <v>50</v>
      </c>
      <c r="BC11" s="15" t="n">
        <f aca="false">MEDIAN(BC$7,BC$9,18.55)</f>
        <v>18.55</v>
      </c>
    </row>
    <row r="12" customFormat="false" ht="15" hidden="false" customHeight="true" outlineLevel="0" collapsed="false">
      <c r="A12" s="5" t="s">
        <v>79</v>
      </c>
      <c r="B12" s="5" t="s">
        <v>86</v>
      </c>
      <c r="C12" s="6" t="n">
        <f aca="false">IFERROR(ROUND(MAX(0,AVERAGE(F12,H12,J12,L12,N12)),1),"")</f>
        <v>57.7</v>
      </c>
      <c r="D12" s="7" t="n">
        <f aca="false">COUNT(E12,G12,I12,K12,M12)</f>
        <v>5</v>
      </c>
      <c r="E12" s="13" t="n">
        <v>69</v>
      </c>
      <c r="F12" s="6" t="n">
        <f aca="false">IF(E12="","",ROUND(((E12-Q$7)/Q$8)*Q$18+Q$17,1))</f>
        <v>59.5</v>
      </c>
      <c r="G12" s="13" t="n">
        <v>38</v>
      </c>
      <c r="H12" s="6" t="n">
        <f aca="false">IF(G12="","",ROUND(((G12-Q$9)/Q$10)*Q$18+Q$17,1))</f>
        <v>57.5</v>
      </c>
      <c r="I12" s="17" t="n">
        <v>51.1</v>
      </c>
      <c r="J12" s="6" t="n">
        <f aca="false">IF(I12="","",ROUND(((I12-Q$11)/Q$12)*Q$18+Q$17,1))</f>
        <v>50.3</v>
      </c>
      <c r="K12" s="13" t="n">
        <v>2554</v>
      </c>
      <c r="L12" s="6" t="n">
        <f aca="false">IF(K12="","",ROUND(((K12-Q$13)/Q$14)*Q$18+Q$17,1))</f>
        <v>59.4</v>
      </c>
      <c r="M12" s="13" t="n">
        <v>62</v>
      </c>
      <c r="N12" s="6" t="n">
        <f aca="false">IF(M12="","",ROUND(((M12-Q$15)/Q$16)*Q$18+Q$17,1))</f>
        <v>62</v>
      </c>
      <c r="O12" s="12"/>
      <c r="P12" s="9" t="s">
        <v>42</v>
      </c>
      <c r="Q12" s="16" t="n">
        <f aca="false">IFERROR(STDEVP(I6:I400),"")</f>
        <v>18.7694959772167</v>
      </c>
      <c r="T12" s="5" t="s">
        <v>79</v>
      </c>
      <c r="U12" s="5" t="s">
        <v>86</v>
      </c>
      <c r="V12" s="6" t="n">
        <f aca="false">IFERROR(MIN(ROUND(MAX(0,AVERAGE(Y12,AA12,AC12,AE12,AG12)),1),57.7),"")</f>
        <v>55.5</v>
      </c>
      <c r="W12" s="7" t="n">
        <f aca="false">COUNT(X12,Z12,AB12,AD12,AF12)</f>
        <v>5</v>
      </c>
      <c r="X12" s="13" t="n">
        <v>66</v>
      </c>
      <c r="Y12" s="6" t="n">
        <f aca="false">IF(X12="","",ROUND(((X12-AJ$7)/AJ$8)*AJ$18+AJ$17,1))</f>
        <v>57.1</v>
      </c>
      <c r="Z12" s="13" t="n">
        <v>36.5</v>
      </c>
      <c r="AA12" s="6" t="n">
        <f aca="false">IF(Z12="","",ROUND(((Z12-AJ$9)/AJ$10)*AJ$18+AJ$17,1))</f>
        <v>55.7</v>
      </c>
      <c r="AB12" s="13" t="n">
        <v>48.9</v>
      </c>
      <c r="AC12" s="6" t="n">
        <f aca="false">IF(AB12="","",ROUND(((AB12-AJ$11)/AJ$12)*AJ$18+AJ$17,1))</f>
        <v>49.1</v>
      </c>
      <c r="AD12" s="17" t="n">
        <v>2443</v>
      </c>
      <c r="AE12" s="6" t="n">
        <f aca="false">IF(AD12="","",ROUND(((AD12-AJ$13)/AJ$14)*AJ$18+AJ$17,1))</f>
        <v>56.4</v>
      </c>
      <c r="AF12" s="13" t="n">
        <v>59</v>
      </c>
      <c r="AG12" s="6" t="n">
        <f aca="false">IF(AF12="","",ROUND(((AF12-AJ$15)/AJ$16)*AJ$18+AJ$17,1))</f>
        <v>59</v>
      </c>
      <c r="AH12" s="12"/>
      <c r="AI12" s="9" t="s">
        <v>42</v>
      </c>
      <c r="AJ12" s="16" t="n">
        <f aca="false">IFERROR(STDEVP(AB6:AB400),"")</f>
        <v>18.2361671455315</v>
      </c>
      <c r="AM12" s="5" t="s">
        <v>79</v>
      </c>
      <c r="AN12" s="5" t="s">
        <v>86</v>
      </c>
      <c r="AO12" s="6" t="n">
        <f aca="false">IFERROR(ROUND(MAX(0,AVERAGE(AR12,AT12)),1),"")</f>
        <v>41.4</v>
      </c>
      <c r="AP12" s="7" t="n">
        <f aca="false">COUNT(AQ12,AS12)</f>
        <v>2</v>
      </c>
      <c r="AQ12" s="13" t="n">
        <v>35</v>
      </c>
      <c r="AR12" s="6" t="n">
        <f aca="false">IF(AQ12="","",ROUND(((AQ12-BC$7)/BC$8)*BC$12+BC$11,1))</f>
        <v>41.8</v>
      </c>
      <c r="AS12" s="13" t="n">
        <v>56</v>
      </c>
      <c r="AT12" s="6" t="n">
        <f aca="false">IF(AS12="","",ROUND(((AS12-BC$9)/BC$10)*BC$12+BC$11,1))</f>
        <v>40.9</v>
      </c>
      <c r="AU12" s="14"/>
      <c r="AV12" s="14"/>
      <c r="AW12" s="14"/>
      <c r="AX12" s="14"/>
      <c r="AY12" s="14"/>
      <c r="AZ12" s="14"/>
      <c r="BA12" s="12"/>
      <c r="BB12" s="9" t="s">
        <v>52</v>
      </c>
      <c r="BC12" s="16" t="n">
        <f aca="false">MEDIAN(BC$8,BC$10,16.4)</f>
        <v>16.4</v>
      </c>
    </row>
    <row r="13" customFormat="false" ht="15" hidden="false" customHeight="true" outlineLevel="0" collapsed="false">
      <c r="A13" s="5" t="s">
        <v>79</v>
      </c>
      <c r="B13" s="5" t="s">
        <v>87</v>
      </c>
      <c r="C13" s="6" t="n">
        <f aca="false">IFERROR(ROUND(MAX(0,AVERAGE(F13,H13,J13,L13,N13)),1),"")</f>
        <v>52.8</v>
      </c>
      <c r="D13" s="7" t="n">
        <f aca="false">COUNT(E13,G13,I13,K13,M13)</f>
        <v>5</v>
      </c>
      <c r="E13" s="13" t="n">
        <v>65</v>
      </c>
      <c r="F13" s="6" t="n">
        <f aca="false">IF(E13="","",ROUND(((E13-Q$7)/Q$8)*Q$18+Q$17,1))</f>
        <v>56.1</v>
      </c>
      <c r="G13" s="13" t="n">
        <v>31</v>
      </c>
      <c r="H13" s="6" t="n">
        <f aca="false">IF(G13="","",ROUND(((G13-Q$9)/Q$10)*Q$18+Q$17,1))</f>
        <v>47.2</v>
      </c>
      <c r="I13" s="17" t="n">
        <v>48.4</v>
      </c>
      <c r="J13" s="6" t="n">
        <f aca="false">IF(I13="","",ROUND(((I13-Q$11)/Q$12)*Q$18+Q$17,1))</f>
        <v>47.3</v>
      </c>
      <c r="K13" s="13" t="n">
        <v>2245</v>
      </c>
      <c r="L13" s="6" t="n">
        <f aca="false">IF(K13="","",ROUND(((K13-Q$13)/Q$14)*Q$18+Q$17,1))</f>
        <v>52.3</v>
      </c>
      <c r="M13" s="13" t="n">
        <v>61</v>
      </c>
      <c r="N13" s="6" t="n">
        <f aca="false">IF(M13="","",ROUND(((M13-Q$15)/Q$16)*Q$18+Q$17,1))</f>
        <v>61</v>
      </c>
      <c r="O13" s="12"/>
      <c r="P13" s="9" t="s">
        <v>44</v>
      </c>
      <c r="Q13" s="15" t="n">
        <f aca="false">IFERROR(AVERAGE(K6:K400),"")</f>
        <v>1123.28813559322</v>
      </c>
      <c r="T13" s="5" t="s">
        <v>79</v>
      </c>
      <c r="U13" s="5" t="s">
        <v>87</v>
      </c>
      <c r="V13" s="6" t="n">
        <f aca="false">IFERROR(MIN(ROUND(MAX(0,AVERAGE(Y13,AA13,AC13,AE13,AG13)),1),52.7),"")</f>
        <v>51.2</v>
      </c>
      <c r="W13" s="7" t="n">
        <f aca="false">COUNT(X13,Z13,AB13,AD13,AF13)</f>
        <v>5</v>
      </c>
      <c r="X13" s="13" t="n">
        <v>63</v>
      </c>
      <c r="Y13" s="6" t="n">
        <f aca="false">IF(X13="","",ROUND(((X13-AJ$7)/AJ$8)*AJ$18+AJ$17,1))</f>
        <v>54.6</v>
      </c>
      <c r="Z13" s="13" t="n">
        <v>30</v>
      </c>
      <c r="AA13" s="6" t="n">
        <f aca="false">IF(Z13="","",ROUND(((Z13-AJ$9)/AJ$10)*AJ$18+AJ$17,1))</f>
        <v>46.1</v>
      </c>
      <c r="AB13" s="13" t="n">
        <v>46.8</v>
      </c>
      <c r="AC13" s="6" t="n">
        <f aca="false">IF(AB13="","",ROUND(((AB13-AJ$11)/AJ$12)*AJ$18+AJ$17,1))</f>
        <v>46.9</v>
      </c>
      <c r="AD13" s="17" t="n">
        <v>2172.6</v>
      </c>
      <c r="AE13" s="6" t="n">
        <f aca="false">IF(AD13="","",ROUND(((AD13-AJ$13)/AJ$14)*AJ$18+AJ$17,1))</f>
        <v>50.2</v>
      </c>
      <c r="AF13" s="13" t="n">
        <v>58</v>
      </c>
      <c r="AG13" s="6" t="n">
        <f aca="false">IF(AF13="","",ROUND(((AF13-AJ$15)/AJ$16)*AJ$18+AJ$17,1))</f>
        <v>58</v>
      </c>
      <c r="AH13" s="12"/>
      <c r="AI13" s="9" t="s">
        <v>44</v>
      </c>
      <c r="AJ13" s="15" t="n">
        <f aca="false">IFERROR(AVERAGE(AD6:AD400),"")</f>
        <v>1112.77857142857</v>
      </c>
      <c r="AM13" s="5" t="s">
        <v>79</v>
      </c>
      <c r="AN13" s="5" t="s">
        <v>87</v>
      </c>
      <c r="AO13" s="6" t="n">
        <f aca="false">IFERROR(ROUND(MAX(0,AVERAGE(AR13,AT13)),1),"")</f>
        <v>37.7</v>
      </c>
      <c r="AP13" s="7" t="n">
        <f aca="false">COUNT(AQ13,AS13)</f>
        <v>2</v>
      </c>
      <c r="AQ13" s="13" t="n">
        <v>29</v>
      </c>
      <c r="AR13" s="6" t="n">
        <f aca="false">IF(AQ13="","",ROUND(((AQ13-BC$7)/BC$8)*BC$12+BC$11,1))</f>
        <v>34.4</v>
      </c>
      <c r="AS13" s="13" t="n">
        <v>56</v>
      </c>
      <c r="AT13" s="6" t="n">
        <f aca="false">IF(AS13="","",ROUND(((AS13-BC$9)/BC$10)*BC$12+BC$11,1))</f>
        <v>40.9</v>
      </c>
      <c r="AU13" s="14"/>
      <c r="AV13" s="14"/>
      <c r="AW13" s="14"/>
      <c r="AX13" s="14"/>
      <c r="AY13" s="14"/>
      <c r="AZ13" s="14"/>
      <c r="BA13" s="12"/>
    </row>
    <row r="14" customFormat="false" ht="15" hidden="false" customHeight="true" outlineLevel="0" collapsed="false">
      <c r="A14" s="5" t="s">
        <v>79</v>
      </c>
      <c r="B14" s="5" t="s">
        <v>88</v>
      </c>
      <c r="C14" s="6" t="n">
        <f aca="false">IFERROR(ROUND(MAX(0,AVERAGE(F14,H14,J14,L14,N14)),1),"")</f>
        <v>47.1</v>
      </c>
      <c r="D14" s="7" t="n">
        <f aca="false">COUNT(E14,G14,I14,K14,M14)</f>
        <v>5</v>
      </c>
      <c r="E14" s="13" t="n">
        <v>60</v>
      </c>
      <c r="F14" s="6" t="n">
        <f aca="false">IF(E14="","",ROUND(((E14-Q$7)/Q$8)*Q$18+Q$17,1))</f>
        <v>51.9</v>
      </c>
      <c r="G14" s="13" t="n">
        <v>30</v>
      </c>
      <c r="H14" s="6" t="n">
        <f aca="false">IF(G14="","",ROUND(((G14-Q$9)/Q$10)*Q$18+Q$17,1))</f>
        <v>45.8</v>
      </c>
      <c r="I14" s="17" t="n">
        <v>45.2</v>
      </c>
      <c r="J14" s="6" t="n">
        <f aca="false">IF(I14="","",ROUND(((I14-Q$11)/Q$12)*Q$18+Q$17,1))</f>
        <v>43.9</v>
      </c>
      <c r="K14" s="13" t="n">
        <v>1797</v>
      </c>
      <c r="L14" s="6" t="n">
        <f aca="false">IF(K14="","",ROUND(((K14-Q$13)/Q$14)*Q$18+Q$17,1))</f>
        <v>41.9</v>
      </c>
      <c r="M14" s="13" t="n">
        <v>52</v>
      </c>
      <c r="N14" s="6" t="n">
        <f aca="false">IF(M14="","",ROUND(((M14-Q$15)/Q$16)*Q$18+Q$17,1))</f>
        <v>52</v>
      </c>
      <c r="O14" s="12"/>
      <c r="P14" s="9" t="s">
        <v>47</v>
      </c>
      <c r="Q14" s="16" t="n">
        <f aca="false">IFERROR(STDEVP(K6:K400),"")</f>
        <v>882.706489999</v>
      </c>
      <c r="T14" s="5" t="s">
        <v>79</v>
      </c>
      <c r="U14" s="5" t="s">
        <v>88</v>
      </c>
      <c r="V14" s="6" t="n">
        <f aca="false">IFERROR(MIN(ROUND(MAX(0,AVERAGE(Y14,AA14,AC14,AE14,AG14)),1),47),"")</f>
        <v>45.8</v>
      </c>
      <c r="W14" s="7" t="n">
        <f aca="false">COUNT(X14,Z14,AB14,AD14,AF14)</f>
        <v>5</v>
      </c>
      <c r="X14" s="13" t="n">
        <v>58</v>
      </c>
      <c r="Y14" s="6" t="n">
        <f aca="false">IF(X14="","",ROUND(((X14-AJ$7)/AJ$8)*AJ$18+AJ$17,1))</f>
        <v>50.4</v>
      </c>
      <c r="Z14" s="13" t="n">
        <v>29</v>
      </c>
      <c r="AA14" s="6" t="n">
        <f aca="false">IF(Z14="","",ROUND(((Z14-AJ$9)/AJ$10)*AJ$18+AJ$17,1))</f>
        <v>44.7</v>
      </c>
      <c r="AB14" s="13" t="n">
        <v>43.7</v>
      </c>
      <c r="AC14" s="6" t="n">
        <f aca="false">IF(AB14="","",ROUND(((AB14-AJ$11)/AJ$12)*AJ$18+AJ$17,1))</f>
        <v>43.5</v>
      </c>
      <c r="AD14" s="17" t="n">
        <v>1737.1</v>
      </c>
      <c r="AE14" s="6" t="n">
        <f aca="false">IF(AD14="","",ROUND(((AD14-AJ$13)/AJ$14)*AJ$18+AJ$17,1))</f>
        <v>40.3</v>
      </c>
      <c r="AF14" s="13" t="n">
        <v>50</v>
      </c>
      <c r="AG14" s="6" t="n">
        <f aca="false">IF(AF14="","",ROUND(((AF14-AJ$15)/AJ$16)*AJ$18+AJ$17,1))</f>
        <v>50</v>
      </c>
      <c r="AH14" s="12"/>
      <c r="AI14" s="9" t="s">
        <v>47</v>
      </c>
      <c r="AJ14" s="16" t="n">
        <f aca="false">IFERROR(STDEVP(AD6:AD400),"")</f>
        <v>867.764204665046</v>
      </c>
      <c r="AM14" s="5" t="s">
        <v>79</v>
      </c>
      <c r="AN14" s="5" t="s">
        <v>88</v>
      </c>
      <c r="AO14" s="6" t="n">
        <f aca="false">IFERROR(ROUND(MAX(0,AVERAGE(AR14,AT14)),1),"")</f>
        <v>33.9</v>
      </c>
      <c r="AP14" s="7" t="n">
        <f aca="false">COUNT(AQ14,AS14)</f>
        <v>2</v>
      </c>
      <c r="AQ14" s="13" t="n">
        <v>28</v>
      </c>
      <c r="AR14" s="6" t="n">
        <f aca="false">IF(AQ14="","",ROUND(((AQ14-BC$7)/BC$8)*BC$12+BC$11,1))</f>
        <v>33.1</v>
      </c>
      <c r="AS14" s="13" t="n">
        <v>49</v>
      </c>
      <c r="AT14" s="6" t="n">
        <f aca="false">IF(AS14="","",ROUND(((AS14-BC$9)/BC$10)*BC$12+BC$11,1))</f>
        <v>34.7</v>
      </c>
      <c r="AU14" s="14"/>
      <c r="AV14" s="14"/>
      <c r="AW14" s="14"/>
      <c r="AX14" s="14"/>
      <c r="AY14" s="14"/>
      <c r="AZ14" s="14"/>
      <c r="BA14" s="12"/>
    </row>
    <row r="15" customFormat="false" ht="15" hidden="false" customHeight="true" outlineLevel="0" collapsed="false">
      <c r="A15" s="5" t="s">
        <v>79</v>
      </c>
      <c r="B15" s="5" t="s">
        <v>89</v>
      </c>
      <c r="C15" s="6" t="n">
        <f aca="false">IFERROR(ROUND(MAX(0,AVERAGE(F15,H15,J15,L15,N15)),1),"")</f>
        <v>45.9</v>
      </c>
      <c r="D15" s="7" t="n">
        <f aca="false">COUNT(E15,G15,I15,K15,M15)</f>
        <v>5</v>
      </c>
      <c r="E15" s="13" t="n">
        <v>64</v>
      </c>
      <c r="F15" s="6" t="n">
        <f aca="false">IF(E15="","",ROUND(((E15-Q$7)/Q$8)*Q$18+Q$17,1))</f>
        <v>55.3</v>
      </c>
      <c r="G15" s="13" t="n">
        <v>26</v>
      </c>
      <c r="H15" s="6" t="n">
        <f aca="false">IF(G15="","",ROUND(((G15-Q$9)/Q$10)*Q$18+Q$17,1))</f>
        <v>39.9</v>
      </c>
      <c r="I15" s="17" t="n">
        <v>42.8</v>
      </c>
      <c r="J15" s="6" t="n">
        <f aca="false">IF(I15="","",ROUND(((I15-Q$11)/Q$12)*Q$18+Q$17,1))</f>
        <v>41.3</v>
      </c>
      <c r="K15" s="13" t="n">
        <v>2101</v>
      </c>
      <c r="L15" s="6" t="n">
        <f aca="false">IF(K15="","",ROUND(((K15-Q$13)/Q$14)*Q$18+Q$17,1))</f>
        <v>48.9</v>
      </c>
      <c r="M15" s="13" t="n">
        <v>44</v>
      </c>
      <c r="N15" s="6" t="n">
        <f aca="false">IF(M15="","",ROUND(((M15-Q$15)/Q$16)*Q$18+Q$17,1))</f>
        <v>44</v>
      </c>
      <c r="O15" s="12"/>
      <c r="P15" s="9" t="s">
        <v>45</v>
      </c>
      <c r="Q15" s="15" t="n">
        <f aca="false">IFERROR(AVERAGE(M6:M400),"")</f>
        <v>26.4333333333333</v>
      </c>
      <c r="T15" s="5" t="s">
        <v>79</v>
      </c>
      <c r="U15" s="5" t="s">
        <v>89</v>
      </c>
      <c r="V15" s="6" t="n">
        <f aca="false">IFERROR(MIN(ROUND(MAX(0,AVERAGE(Y15,AA15,AC15,AE15,AG15)),1),45.8),"")</f>
        <v>43.5</v>
      </c>
      <c r="W15" s="7" t="n">
        <f aca="false">COUNT(X15,Z15,AB15,AD15,AF15)</f>
        <v>5</v>
      </c>
      <c r="X15" s="13" t="n">
        <v>61</v>
      </c>
      <c r="Y15" s="6" t="n">
        <f aca="false">IF(X15="","",ROUND(((X15-AJ$7)/AJ$8)*AJ$18+AJ$17,1))</f>
        <v>52.9</v>
      </c>
      <c r="Z15" s="13" t="n">
        <v>24.5</v>
      </c>
      <c r="AA15" s="6" t="n">
        <f aca="false">IF(Z15="","",ROUND(((Z15-AJ$9)/AJ$10)*AJ$18+AJ$17,1))</f>
        <v>38.1</v>
      </c>
      <c r="AB15" s="13" t="n">
        <v>40.3</v>
      </c>
      <c r="AC15" s="6" t="n">
        <f aca="false">IF(AB15="","",ROUND(((AB15-AJ$11)/AJ$12)*AJ$18+AJ$17,1))</f>
        <v>39.8</v>
      </c>
      <c r="AD15" s="17" t="n">
        <v>1979.8</v>
      </c>
      <c r="AE15" s="6" t="n">
        <f aca="false">IF(AD15="","",ROUND(((AD15-AJ$13)/AJ$14)*AJ$18+AJ$17,1))</f>
        <v>45.8</v>
      </c>
      <c r="AF15" s="13" t="n">
        <v>41</v>
      </c>
      <c r="AG15" s="6" t="n">
        <f aca="false">IF(AF15="","",ROUND(((AF15-AJ$15)/AJ$16)*AJ$18+AJ$17,1))</f>
        <v>41</v>
      </c>
      <c r="AH15" s="12"/>
      <c r="AI15" s="9" t="s">
        <v>45</v>
      </c>
      <c r="AJ15" s="15" t="n">
        <f aca="false">IFERROR(AVERAGE(AF6:AF400),"")</f>
        <v>26.0172413793103</v>
      </c>
      <c r="AM15" s="5" t="s">
        <v>79</v>
      </c>
      <c r="AN15" s="5" t="s">
        <v>90</v>
      </c>
      <c r="AO15" s="6" t="n">
        <f aca="false">IFERROR(ROUND(MAX(0,AVERAGE(AR15,AT15)),1),"")</f>
        <v>32.1</v>
      </c>
      <c r="AP15" s="7" t="n">
        <f aca="false">COUNT(AQ15,AS15)</f>
        <v>2</v>
      </c>
      <c r="AQ15" s="13" t="n">
        <v>25</v>
      </c>
      <c r="AR15" s="6" t="n">
        <f aca="false">IF(AQ15="","",ROUND(((AQ15-BC$7)/BC$8)*BC$12+BC$11,1))</f>
        <v>29.4</v>
      </c>
      <c r="AS15" s="13" t="n">
        <v>49</v>
      </c>
      <c r="AT15" s="6" t="n">
        <f aca="false">IF(AS15="","",ROUND(((AS15-BC$9)/BC$10)*BC$12+BC$11,1))</f>
        <v>34.7</v>
      </c>
      <c r="AU15" s="14"/>
      <c r="AV15" s="14"/>
      <c r="AW15" s="14"/>
      <c r="AX15" s="14"/>
      <c r="AY15" s="14"/>
      <c r="AZ15" s="14"/>
      <c r="BA15" s="12"/>
    </row>
    <row r="16" customFormat="false" ht="15" hidden="false" customHeight="true" outlineLevel="0" collapsed="false">
      <c r="A16" s="5" t="s">
        <v>79</v>
      </c>
      <c r="B16" s="5" t="s">
        <v>91</v>
      </c>
      <c r="C16" s="6" t="n">
        <f aca="false">IFERROR(ROUND(MAX(0,AVERAGE(F16,H16,J16,L16,N16)),1),"")</f>
        <v>43.9</v>
      </c>
      <c r="D16" s="7" t="n">
        <f aca="false">COUNT(E16,G16,I16,K16,M16)</f>
        <v>5</v>
      </c>
      <c r="E16" s="13" t="n">
        <v>54</v>
      </c>
      <c r="F16" s="6" t="n">
        <f aca="false">IF(E16="","",ROUND(((E16-Q$7)/Q$8)*Q$18+Q$17,1))</f>
        <v>46.8</v>
      </c>
      <c r="G16" s="13" t="n">
        <v>23</v>
      </c>
      <c r="H16" s="6" t="n">
        <f aca="false">IF(G16="","",ROUND(((G16-Q$9)/Q$10)*Q$18+Q$17,1))</f>
        <v>35.5</v>
      </c>
      <c r="I16" s="17" t="n">
        <v>48.2</v>
      </c>
      <c r="J16" s="6" t="n">
        <f aca="false">IF(I16="","",ROUND(((I16-Q$11)/Q$12)*Q$18+Q$17,1))</f>
        <v>47.1</v>
      </c>
      <c r="K16" s="13" t="n">
        <v>2065</v>
      </c>
      <c r="L16" s="6" t="n">
        <f aca="false">IF(K16="","",ROUND(((K16-Q$13)/Q$14)*Q$18+Q$17,1))</f>
        <v>48.1</v>
      </c>
      <c r="M16" s="13" t="n">
        <v>42</v>
      </c>
      <c r="N16" s="6" t="n">
        <f aca="false">IF(M16="","",ROUND(((M16-Q$15)/Q$16)*Q$18+Q$17,1))</f>
        <v>42</v>
      </c>
      <c r="O16" s="12"/>
      <c r="P16" s="9" t="s">
        <v>48</v>
      </c>
      <c r="Q16" s="16" t="n">
        <f aca="false">IFERROR(STDEVP(M6:M400),"")</f>
        <v>20.3276221487468</v>
      </c>
      <c r="T16" s="5" t="s">
        <v>79</v>
      </c>
      <c r="U16" s="5" t="s">
        <v>91</v>
      </c>
      <c r="V16" s="6" t="n">
        <f aca="false">IFERROR(MIN(ROUND(MAX(0,AVERAGE(Y16,AA16,AC16,AE16,AG16)),1),43.9),"")</f>
        <v>42.1</v>
      </c>
      <c r="W16" s="7" t="n">
        <f aca="false">COUNT(X16,Z16,AB16,AD16,AF16)</f>
        <v>5</v>
      </c>
      <c r="X16" s="13" t="n">
        <v>52</v>
      </c>
      <c r="Y16" s="6" t="n">
        <f aca="false">IF(X16="","",ROUND(((X16-AJ$7)/AJ$8)*AJ$18+AJ$17,1))</f>
        <v>45.3</v>
      </c>
      <c r="Z16" s="13" t="n">
        <v>21.5</v>
      </c>
      <c r="AA16" s="6" t="n">
        <f aca="false">IF(Z16="","",ROUND(((Z16-AJ$9)/AJ$10)*AJ$18+AJ$17,1))</f>
        <v>33.7</v>
      </c>
      <c r="AB16" s="13" t="n">
        <v>45.9</v>
      </c>
      <c r="AC16" s="6" t="n">
        <f aca="false">IF(AB16="","",ROUND(((AB16-AJ$11)/AJ$12)*AJ$18+AJ$17,1))</f>
        <v>45.9</v>
      </c>
      <c r="AD16" s="17" t="n">
        <v>1966.7</v>
      </c>
      <c r="AE16" s="6" t="n">
        <f aca="false">IF(AD16="","",ROUND(((AD16-AJ$13)/AJ$14)*AJ$18+AJ$17,1))</f>
        <v>45.5</v>
      </c>
      <c r="AF16" s="13" t="n">
        <v>40</v>
      </c>
      <c r="AG16" s="6" t="n">
        <f aca="false">IF(AF16="","",ROUND(((AF16-AJ$15)/AJ$16)*AJ$18+AJ$17,1))</f>
        <v>40</v>
      </c>
      <c r="AH16" s="12"/>
      <c r="AI16" s="9" t="s">
        <v>48</v>
      </c>
      <c r="AJ16" s="16" t="n">
        <f aca="false">IFERROR(STDEVP(AF6:AF400),"")</f>
        <v>19.7994177721</v>
      </c>
      <c r="AM16" s="5" t="s">
        <v>79</v>
      </c>
      <c r="AN16" s="5" t="s">
        <v>89</v>
      </c>
      <c r="AO16" s="6" t="n">
        <f aca="false">IFERROR(ROUND(MAX(0,AVERAGE(AR16,AT16)),1),"")</f>
        <v>26.4</v>
      </c>
      <c r="AP16" s="7" t="n">
        <f aca="false">COUNT(AQ16,AS16)</f>
        <v>2</v>
      </c>
      <c r="AQ16" s="13" t="n">
        <v>23</v>
      </c>
      <c r="AR16" s="6" t="n">
        <f aca="false">IF(AQ16="","",ROUND(((AQ16-BC$7)/BC$8)*BC$12+BC$11,1))</f>
        <v>26.9</v>
      </c>
      <c r="AS16" s="13" t="n">
        <v>39</v>
      </c>
      <c r="AT16" s="6" t="n">
        <f aca="false">IF(AS16="","",ROUND(((AS16-BC$9)/BC$10)*BC$12+BC$11,1))</f>
        <v>25.9</v>
      </c>
      <c r="AU16" s="14"/>
      <c r="AV16" s="14"/>
      <c r="AW16" s="14"/>
      <c r="AX16" s="14"/>
      <c r="AY16" s="14"/>
      <c r="AZ16" s="14"/>
      <c r="BA16" s="12"/>
    </row>
    <row r="17" customFormat="false" ht="15" hidden="false" customHeight="true" outlineLevel="0" collapsed="false">
      <c r="A17" s="5" t="s">
        <v>79</v>
      </c>
      <c r="B17" s="5" t="s">
        <v>90</v>
      </c>
      <c r="C17" s="6" t="n">
        <f aca="false">IFERROR(ROUND(MAX(0,AVERAGE(F17,H17,J17,L17,N17)),1),"")</f>
        <v>43.5</v>
      </c>
      <c r="D17" s="7" t="n">
        <f aca="false">COUNT(E17,G17,I17,K17,M17)</f>
        <v>5</v>
      </c>
      <c r="E17" s="13" t="n">
        <v>50</v>
      </c>
      <c r="F17" s="6" t="n">
        <f aca="false">IF(E17="","",ROUND(((E17-Q$7)/Q$8)*Q$18+Q$17,1))</f>
        <v>43.4</v>
      </c>
      <c r="G17" s="13" t="n">
        <v>27</v>
      </c>
      <c r="H17" s="6" t="n">
        <f aca="false">IF(G17="","",ROUND(((G17-Q$9)/Q$10)*Q$18+Q$17,1))</f>
        <v>41.4</v>
      </c>
      <c r="I17" s="17" t="n">
        <v>42.4</v>
      </c>
      <c r="J17" s="6" t="n">
        <f aca="false">IF(I17="","",ROUND(((I17-Q$11)/Q$12)*Q$18+Q$17,1))</f>
        <v>40.9</v>
      </c>
      <c r="K17" s="13" t="n">
        <v>1693</v>
      </c>
      <c r="L17" s="6" t="n">
        <f aca="false">IF(K17="","",ROUND(((K17-Q$13)/Q$14)*Q$18+Q$17,1))</f>
        <v>39.6</v>
      </c>
      <c r="M17" s="13" t="n">
        <v>52</v>
      </c>
      <c r="N17" s="6" t="n">
        <f aca="false">IF(M17="","",ROUND(((M17-Q$15)/Q$16)*Q$18+Q$17,1))</f>
        <v>52</v>
      </c>
      <c r="O17" s="12"/>
      <c r="P17" s="9" t="s">
        <v>50</v>
      </c>
      <c r="Q17" s="15" t="n">
        <f aca="false">MEDIAN(Q$7,Q$9,Q$15)</f>
        <v>26.4333333333333</v>
      </c>
      <c r="T17" s="5" t="s">
        <v>79</v>
      </c>
      <c r="U17" s="5" t="s">
        <v>90</v>
      </c>
      <c r="V17" s="6" t="n">
        <f aca="false">IFERROR(MIN(ROUND(MAX(0,AVERAGE(Y17,AA17,AC17,AE17,AG17)),1),43.4),"")</f>
        <v>42.1</v>
      </c>
      <c r="W17" s="7" t="n">
        <f aca="false">COUNT(X17,Z17,AB17,AD17,AF17)</f>
        <v>5</v>
      </c>
      <c r="X17" s="13" t="n">
        <v>48</v>
      </c>
      <c r="Y17" s="6" t="n">
        <f aca="false">IF(X17="","",ROUND(((X17-AJ$7)/AJ$8)*AJ$18+AJ$17,1))</f>
        <v>42</v>
      </c>
      <c r="Z17" s="13" t="n">
        <v>26</v>
      </c>
      <c r="AA17" s="6" t="n">
        <f aca="false">IF(Z17="","",ROUND(((Z17-AJ$9)/AJ$10)*AJ$18+AJ$17,1))</f>
        <v>40.3</v>
      </c>
      <c r="AB17" s="13" t="n">
        <v>40.8</v>
      </c>
      <c r="AC17" s="6" t="n">
        <f aca="false">IF(AB17="","",ROUND(((AB17-AJ$11)/AJ$12)*AJ$18+AJ$17,1))</f>
        <v>40.3</v>
      </c>
      <c r="AD17" s="17" t="n">
        <v>1627.9</v>
      </c>
      <c r="AE17" s="6" t="n">
        <f aca="false">IF(AD17="","",ROUND(((AD17-AJ$13)/AJ$14)*AJ$18+AJ$17,1))</f>
        <v>37.8</v>
      </c>
      <c r="AF17" s="13" t="n">
        <v>50</v>
      </c>
      <c r="AG17" s="6" t="n">
        <f aca="false">IF(AF17="","",ROUND(((AF17-AJ$15)/AJ$16)*AJ$18+AJ$17,1))</f>
        <v>50</v>
      </c>
      <c r="AH17" s="12"/>
      <c r="AI17" s="9" t="s">
        <v>50</v>
      </c>
      <c r="AJ17" s="15" t="n">
        <f aca="false">MEDIAN(AJ$7,AJ$9,AJ$15)</f>
        <v>26.0172413793103</v>
      </c>
      <c r="AM17" s="5" t="s">
        <v>79</v>
      </c>
      <c r="AN17" s="5" t="s">
        <v>92</v>
      </c>
      <c r="AO17" s="6" t="n">
        <f aca="false">IFERROR(ROUND(MAX(0,AVERAGE(AR17,AT17)),1),"")</f>
        <v>26</v>
      </c>
      <c r="AP17" s="7" t="n">
        <f aca="false">COUNT(AQ17,AS17)</f>
        <v>2</v>
      </c>
      <c r="AQ17" s="13" t="n">
        <v>23</v>
      </c>
      <c r="AR17" s="6" t="n">
        <f aca="false">IF(AQ17="","",ROUND(((AQ17-BC$7)/BC$8)*BC$12+BC$11,1))</f>
        <v>26.9</v>
      </c>
      <c r="AS17" s="13" t="n">
        <v>38</v>
      </c>
      <c r="AT17" s="6" t="n">
        <f aca="false">IF(AS17="","",ROUND(((AS17-BC$9)/BC$10)*BC$12+BC$11,1))</f>
        <v>25</v>
      </c>
      <c r="AU17" s="14"/>
      <c r="AV17" s="14"/>
      <c r="AW17" s="14"/>
      <c r="AX17" s="14"/>
      <c r="AY17" s="14"/>
      <c r="AZ17" s="14"/>
      <c r="BA17" s="12"/>
    </row>
    <row r="18" customFormat="false" ht="15" hidden="false" customHeight="true" outlineLevel="0" collapsed="false">
      <c r="A18" s="5" t="s">
        <v>79</v>
      </c>
      <c r="B18" s="5" t="s">
        <v>93</v>
      </c>
      <c r="C18" s="6" t="n">
        <f aca="false">IFERROR(ROUND(MAX(0,AVERAGE(F18,H18,J18,L18,N18)),1),"")</f>
        <v>42.4</v>
      </c>
      <c r="D18" s="7" t="n">
        <f aca="false">COUNT(E18,G18,I18,K18,M18)</f>
        <v>5</v>
      </c>
      <c r="E18" s="13" t="n">
        <v>53</v>
      </c>
      <c r="F18" s="6" t="n">
        <f aca="false">IF(E18="","",ROUND(((E18-Q$7)/Q$8)*Q$18+Q$17,1))</f>
        <v>45.9</v>
      </c>
      <c r="G18" s="13" t="n">
        <v>21</v>
      </c>
      <c r="H18" s="6" t="n">
        <f aca="false">IF(G18="","",ROUND(((G18-Q$9)/Q$10)*Q$18+Q$17,1))</f>
        <v>32.6</v>
      </c>
      <c r="I18" s="17" t="n">
        <v>44.5</v>
      </c>
      <c r="J18" s="6" t="n">
        <f aca="false">IF(I18="","",ROUND(((I18-Q$11)/Q$12)*Q$18+Q$17,1))</f>
        <v>43.1</v>
      </c>
      <c r="K18" s="13" t="n">
        <v>2029</v>
      </c>
      <c r="L18" s="6" t="n">
        <f aca="false">IF(K18="","",ROUND(((K18-Q$13)/Q$14)*Q$18+Q$17,1))</f>
        <v>47.3</v>
      </c>
      <c r="M18" s="13" t="n">
        <v>43</v>
      </c>
      <c r="N18" s="6" t="n">
        <f aca="false">IF(M18="","",ROUND(((M18-Q$15)/Q$16)*Q$18+Q$17,1))</f>
        <v>43</v>
      </c>
      <c r="O18" s="12"/>
      <c r="P18" s="9" t="s">
        <v>52</v>
      </c>
      <c r="Q18" s="16" t="n">
        <f aca="false">MEDIAN(Q$8,Q$10,Q$16)</f>
        <v>20.3276221487468</v>
      </c>
      <c r="T18" s="5" t="s">
        <v>79</v>
      </c>
      <c r="U18" s="5" t="s">
        <v>93</v>
      </c>
      <c r="V18" s="6" t="n">
        <f aca="false">IFERROR(MIN(ROUND(MAX(0,AVERAGE(Y18,AA18,AC18,AE18,AG18)),1),42.3),"")</f>
        <v>40.6</v>
      </c>
      <c r="W18" s="7" t="n">
        <f aca="false">COUNT(X18,Z18,AB18,AD18,AF18)</f>
        <v>5</v>
      </c>
      <c r="X18" s="13" t="n">
        <v>51</v>
      </c>
      <c r="Y18" s="6" t="n">
        <f aca="false">IF(X18="","",ROUND(((X18-AJ$7)/AJ$8)*AJ$18+AJ$17,1))</f>
        <v>44.5</v>
      </c>
      <c r="Z18" s="13" t="n">
        <v>19.5</v>
      </c>
      <c r="AA18" s="6" t="n">
        <f aca="false">IF(Z18="","",ROUND(((Z18-AJ$9)/AJ$10)*AJ$18+AJ$17,1))</f>
        <v>30.7</v>
      </c>
      <c r="AB18" s="13" t="n">
        <v>42.4</v>
      </c>
      <c r="AC18" s="6" t="n">
        <f aca="false">IF(AB18="","",ROUND(((AB18-AJ$11)/AJ$12)*AJ$18+AJ$17,1))</f>
        <v>42.1</v>
      </c>
      <c r="AD18" s="17" t="n">
        <v>1934.6</v>
      </c>
      <c r="AE18" s="6" t="n">
        <f aca="false">IF(AD18="","",ROUND(((AD18-AJ$13)/AJ$14)*AJ$18+AJ$17,1))</f>
        <v>44.8</v>
      </c>
      <c r="AF18" s="13" t="n">
        <v>41</v>
      </c>
      <c r="AG18" s="6" t="n">
        <f aca="false">IF(AF18="","",ROUND(((AF18-AJ$15)/AJ$16)*AJ$18+AJ$17,1))</f>
        <v>41</v>
      </c>
      <c r="AH18" s="12"/>
      <c r="AI18" s="9" t="s">
        <v>52</v>
      </c>
      <c r="AJ18" s="16" t="n">
        <f aca="false">MEDIAN(AJ$8,AJ$10,AJ$16)</f>
        <v>19.7994177721</v>
      </c>
      <c r="AM18" s="5" t="s">
        <v>79</v>
      </c>
      <c r="AN18" s="5" t="s">
        <v>94</v>
      </c>
      <c r="AO18" s="6" t="n">
        <f aca="false">IFERROR(ROUND(MAX(0,AVERAGE(AR18,AT18)),1),"")</f>
        <v>24.9</v>
      </c>
      <c r="AP18" s="7" t="n">
        <f aca="false">COUNT(AQ18,AS18)</f>
        <v>2</v>
      </c>
      <c r="AQ18" s="13" t="n">
        <v>22</v>
      </c>
      <c r="AR18" s="6" t="n">
        <f aca="false">IF(AQ18="","",ROUND(((AQ18-BC$7)/BC$8)*BC$12+BC$11,1))</f>
        <v>25.7</v>
      </c>
      <c r="AS18" s="13" t="n">
        <v>37</v>
      </c>
      <c r="AT18" s="6" t="n">
        <f aca="false">IF(AS18="","",ROUND(((AS18-BC$9)/BC$10)*BC$12+BC$11,1))</f>
        <v>24.1</v>
      </c>
      <c r="AU18" s="14"/>
      <c r="AV18" s="14"/>
      <c r="AW18" s="14"/>
      <c r="AX18" s="14"/>
      <c r="AY18" s="14"/>
      <c r="AZ18" s="14"/>
      <c r="BA18" s="12"/>
    </row>
    <row r="19" customFormat="false" ht="15" hidden="false" customHeight="true" outlineLevel="0" collapsed="false">
      <c r="A19" s="5" t="s">
        <v>79</v>
      </c>
      <c r="B19" s="5" t="s">
        <v>92</v>
      </c>
      <c r="C19" s="6" t="n">
        <f aca="false">IFERROR(ROUND(MAX(0,AVERAGE(F19,H19,J19,L19,N19)),1),"")</f>
        <v>40</v>
      </c>
      <c r="D19" s="7" t="n">
        <f aca="false">COUNT(E19,G19,I19,K19,M19)</f>
        <v>5</v>
      </c>
      <c r="E19" s="13" t="n">
        <v>48</v>
      </c>
      <c r="F19" s="6" t="n">
        <f aca="false">IF(E19="","",ROUND(((E19-Q$7)/Q$8)*Q$18+Q$17,1))</f>
        <v>41.7</v>
      </c>
      <c r="G19" s="13" t="n">
        <v>24</v>
      </c>
      <c r="H19" s="6" t="n">
        <f aca="false">IF(G19="","",ROUND(((G19-Q$9)/Q$10)*Q$18+Q$17,1))</f>
        <v>37</v>
      </c>
      <c r="I19" s="17" t="n">
        <v>43.4</v>
      </c>
      <c r="J19" s="6" t="n">
        <f aca="false">IF(I19="","",ROUND(((I19-Q$11)/Q$12)*Q$18+Q$17,1))</f>
        <v>41.9</v>
      </c>
      <c r="K19" s="13" t="n">
        <v>1589</v>
      </c>
      <c r="L19" s="6" t="n">
        <f aca="false">IF(K19="","",ROUND(((K19-Q$13)/Q$14)*Q$18+Q$17,1))</f>
        <v>37.2</v>
      </c>
      <c r="M19" s="13" t="n">
        <v>42</v>
      </c>
      <c r="N19" s="6" t="n">
        <f aca="false">IF(M19="","",ROUND(((M19-Q$15)/Q$16)*Q$18+Q$17,1))</f>
        <v>42</v>
      </c>
      <c r="O19" s="12"/>
      <c r="T19" s="5" t="s">
        <v>79</v>
      </c>
      <c r="U19" s="5" t="s">
        <v>92</v>
      </c>
      <c r="V19" s="6" t="n">
        <f aca="false">IFERROR(MIN(ROUND(MAX(0,AVERAGE(Y19,AA19,AC19,AE19,AG19)),1),39.9),"")</f>
        <v>38.7</v>
      </c>
      <c r="W19" s="7" t="n">
        <f aca="false">COUNT(X19,Z19,AB19,AD19,AF19)</f>
        <v>5</v>
      </c>
      <c r="X19" s="13" t="n">
        <v>46</v>
      </c>
      <c r="Y19" s="6" t="n">
        <f aca="false">IF(X19="","",ROUND(((X19-AJ$7)/AJ$8)*AJ$18+AJ$17,1))</f>
        <v>40.3</v>
      </c>
      <c r="Z19" s="13" t="n">
        <v>23.5</v>
      </c>
      <c r="AA19" s="6" t="n">
        <f aca="false">IF(Z19="","",ROUND(((Z19-AJ$9)/AJ$10)*AJ$18+AJ$17,1))</f>
        <v>36.6</v>
      </c>
      <c r="AB19" s="13" t="n">
        <v>41.6</v>
      </c>
      <c r="AC19" s="6" t="n">
        <f aca="false">IF(AB19="","",ROUND(((AB19-AJ$11)/AJ$12)*AJ$18+AJ$17,1))</f>
        <v>41.2</v>
      </c>
      <c r="AD19" s="17" t="n">
        <v>1522.8</v>
      </c>
      <c r="AE19" s="6" t="n">
        <f aca="false">IF(AD19="","",ROUND(((AD19-AJ$13)/AJ$14)*AJ$18+AJ$17,1))</f>
        <v>35.4</v>
      </c>
      <c r="AF19" s="13" t="n">
        <v>40</v>
      </c>
      <c r="AG19" s="6" t="n">
        <f aca="false">IF(AF19="","",ROUND(((AF19-AJ$15)/AJ$16)*AJ$18+AJ$17,1))</f>
        <v>40</v>
      </c>
      <c r="AH19" s="12"/>
      <c r="AM19" s="5" t="s">
        <v>79</v>
      </c>
      <c r="AN19" s="5" t="s">
        <v>91</v>
      </c>
      <c r="AO19" s="6" t="n">
        <f aca="false">IFERROR(ROUND(MAX(0,AVERAGE(AR19,AT19)),1),"")</f>
        <v>24.1</v>
      </c>
      <c r="AP19" s="7" t="n">
        <f aca="false">COUNT(AQ19,AS19)</f>
        <v>2</v>
      </c>
      <c r="AQ19" s="13" t="n">
        <v>20</v>
      </c>
      <c r="AR19" s="6" t="n">
        <f aca="false">IF(AQ19="","",ROUND(((AQ19-BC$7)/BC$8)*BC$12+BC$11,1))</f>
        <v>23.2</v>
      </c>
      <c r="AS19" s="13" t="n">
        <v>38</v>
      </c>
      <c r="AT19" s="6" t="n">
        <f aca="false">IF(AS19="","",ROUND(((AS19-BC$9)/BC$10)*BC$12+BC$11,1))</f>
        <v>25</v>
      </c>
      <c r="AU19" s="14"/>
      <c r="AV19" s="14"/>
      <c r="AW19" s="14"/>
      <c r="AX19" s="14"/>
      <c r="AY19" s="14"/>
      <c r="AZ19" s="14"/>
      <c r="BA19" s="12"/>
    </row>
    <row r="20" customFormat="false" ht="15" hidden="false" customHeight="true" outlineLevel="0" collapsed="false">
      <c r="A20" s="5" t="s">
        <v>79</v>
      </c>
      <c r="B20" s="5" t="s">
        <v>94</v>
      </c>
      <c r="C20" s="6" t="n">
        <f aca="false">IFERROR(ROUND(MAX(0,AVERAGE(F20,H20,J20,L20,N20)),1),"")</f>
        <v>36.8</v>
      </c>
      <c r="D20" s="7" t="n">
        <f aca="false">COUNT(E20,G20,I20,K20,M20)</f>
        <v>5</v>
      </c>
      <c r="E20" s="13" t="n">
        <v>42</v>
      </c>
      <c r="F20" s="6" t="n">
        <f aca="false">IF(E20="","",ROUND(((E20-Q$7)/Q$8)*Q$18+Q$17,1))</f>
        <v>36.6</v>
      </c>
      <c r="G20" s="13" t="n">
        <v>24</v>
      </c>
      <c r="H20" s="6" t="n">
        <f aca="false">IF(G20="","",ROUND(((G20-Q$9)/Q$10)*Q$18+Q$17,1))</f>
        <v>37</v>
      </c>
      <c r="I20" s="17" t="n">
        <v>38.4</v>
      </c>
      <c r="J20" s="6" t="n">
        <f aca="false">IF(I20="","",ROUND(((I20-Q$11)/Q$12)*Q$18+Q$17,1))</f>
        <v>36.5</v>
      </c>
      <c r="K20" s="13" t="n">
        <v>1409</v>
      </c>
      <c r="L20" s="6" t="n">
        <f aca="false">IF(K20="","",ROUND(((K20-Q$13)/Q$14)*Q$18+Q$17,1))</f>
        <v>33</v>
      </c>
      <c r="M20" s="13" t="n">
        <v>41</v>
      </c>
      <c r="N20" s="6" t="n">
        <f aca="false">IF(M20="","",ROUND(((M20-Q$15)/Q$16)*Q$18+Q$17,1))</f>
        <v>41</v>
      </c>
      <c r="O20" s="12"/>
      <c r="T20" s="5" t="s">
        <v>79</v>
      </c>
      <c r="U20" s="5" t="s">
        <v>94</v>
      </c>
      <c r="V20" s="6" t="n">
        <f aca="false">IFERROR(MIN(ROUND(MAX(0,AVERAGE(Y20,AA20,AC20,AE20,AG20)),1),36.8),"")</f>
        <v>35.4</v>
      </c>
      <c r="W20" s="7" t="n">
        <f aca="false">COUNT(X20,Z20,AB20,AD20,AF20)</f>
        <v>5</v>
      </c>
      <c r="X20" s="13" t="n">
        <v>40</v>
      </c>
      <c r="Y20" s="6" t="n">
        <f aca="false">IF(X20="","",ROUND(((X20-AJ$7)/AJ$8)*AJ$18+AJ$17,1))</f>
        <v>35.2</v>
      </c>
      <c r="Z20" s="13" t="n">
        <v>23</v>
      </c>
      <c r="AA20" s="6" t="n">
        <f aca="false">IF(Z20="","",ROUND(((Z20-AJ$9)/AJ$10)*AJ$18+AJ$17,1))</f>
        <v>35.9</v>
      </c>
      <c r="AB20" s="13" t="n">
        <v>36.6</v>
      </c>
      <c r="AC20" s="6" t="n">
        <f aca="false">IF(AB20="","",ROUND(((AB20-AJ$11)/AJ$12)*AJ$18+AJ$17,1))</f>
        <v>35.8</v>
      </c>
      <c r="AD20" s="17" t="n">
        <v>1341.9</v>
      </c>
      <c r="AE20" s="6" t="n">
        <f aca="false">IF(AD20="","",ROUND(((AD20-AJ$13)/AJ$14)*AJ$18+AJ$17,1))</f>
        <v>31.2</v>
      </c>
      <c r="AF20" s="13" t="n">
        <v>39</v>
      </c>
      <c r="AG20" s="6" t="n">
        <f aca="false">IF(AF20="","",ROUND(((AF20-AJ$15)/AJ$16)*AJ$18+AJ$17,1))</f>
        <v>39</v>
      </c>
      <c r="AH20" s="12"/>
      <c r="AM20" s="5" t="s">
        <v>79</v>
      </c>
      <c r="AN20" s="5" t="s">
        <v>93</v>
      </c>
      <c r="AO20" s="6" t="n">
        <f aca="false">IFERROR(ROUND(MAX(0,AVERAGE(AR20,AT20)),1),"")</f>
        <v>23.3</v>
      </c>
      <c r="AP20" s="7" t="n">
        <f aca="false">COUNT(AQ20,AS20)</f>
        <v>2</v>
      </c>
      <c r="AQ20" s="13" t="n">
        <v>18</v>
      </c>
      <c r="AR20" s="6" t="n">
        <f aca="false">IF(AQ20="","",ROUND(((AQ20-BC$7)/BC$8)*BC$12+BC$11,1))</f>
        <v>20.7</v>
      </c>
      <c r="AS20" s="13" t="n">
        <v>39</v>
      </c>
      <c r="AT20" s="6" t="n">
        <f aca="false">IF(AS20="","",ROUND(((AS20-BC$9)/BC$10)*BC$12+BC$11,1))</f>
        <v>25.9</v>
      </c>
      <c r="AU20" s="14"/>
      <c r="AV20" s="14"/>
      <c r="AW20" s="14"/>
      <c r="AX20" s="14"/>
      <c r="AY20" s="14"/>
      <c r="AZ20" s="14"/>
      <c r="BA20" s="12"/>
    </row>
    <row r="21" customFormat="false" ht="15" hidden="false" customHeight="true" outlineLevel="0" collapsed="false">
      <c r="A21" s="5" t="s">
        <v>79</v>
      </c>
      <c r="B21" s="5" t="s">
        <v>95</v>
      </c>
      <c r="C21" s="6" t="n">
        <f aca="false">IFERROR(ROUND(MAX(0,AVERAGE(F21,H21,J21,L21,N21)),1),"")</f>
        <v>36.6</v>
      </c>
      <c r="D21" s="7" t="n">
        <f aca="false">COUNT(E21,G21,I21,K21,M21)</f>
        <v>5</v>
      </c>
      <c r="E21" s="13" t="n">
        <v>50</v>
      </c>
      <c r="F21" s="6" t="n">
        <f aca="false">IF(E21="","",ROUND(((E21-Q$7)/Q$8)*Q$18+Q$17,1))</f>
        <v>43.4</v>
      </c>
      <c r="G21" s="13" t="n">
        <v>16</v>
      </c>
      <c r="H21" s="6" t="n">
        <f aca="false">IF(G21="","",ROUND(((G21-Q$9)/Q$10)*Q$18+Q$17,1))</f>
        <v>25.2</v>
      </c>
      <c r="I21" s="17" t="n">
        <v>39.8</v>
      </c>
      <c r="J21" s="6" t="n">
        <f aca="false">IF(I21="","",ROUND(((I21-Q$11)/Q$12)*Q$18+Q$17,1))</f>
        <v>38</v>
      </c>
      <c r="K21" s="13" t="n">
        <v>1641</v>
      </c>
      <c r="L21" s="6" t="n">
        <f aca="false">IF(K21="","",ROUND(((K21-Q$13)/Q$14)*Q$18+Q$17,1))</f>
        <v>38.4</v>
      </c>
      <c r="M21" s="13" t="n">
        <v>38</v>
      </c>
      <c r="N21" s="6" t="n">
        <f aca="false">IF(M21="","",ROUND(((M21-Q$15)/Q$16)*Q$18+Q$17,1))</f>
        <v>38</v>
      </c>
      <c r="O21" s="12"/>
      <c r="T21" s="5" t="s">
        <v>79</v>
      </c>
      <c r="U21" s="5" t="s">
        <v>95</v>
      </c>
      <c r="V21" s="6" t="n">
        <f aca="false">IFERROR(MIN(ROUND(MAX(0,AVERAGE(Y21,AA21,AC21,AE21,AG21)),1),36.6),"")</f>
        <v>35.9</v>
      </c>
      <c r="W21" s="7" t="n">
        <f aca="false">COUNT(X21,Z21,AB21,AD21,AF21)</f>
        <v>5</v>
      </c>
      <c r="X21" s="13" t="n">
        <v>48</v>
      </c>
      <c r="Y21" s="6" t="n">
        <f aca="false">IF(X21="","",ROUND(((X21-AJ$7)/AJ$8)*AJ$18+AJ$17,1))</f>
        <v>42</v>
      </c>
      <c r="Z21" s="13" t="n">
        <v>15.5</v>
      </c>
      <c r="AA21" s="6" t="n">
        <f aca="false">IF(Z21="","",ROUND(((Z21-AJ$9)/AJ$10)*AJ$18+AJ$17,1))</f>
        <v>24.9</v>
      </c>
      <c r="AB21" s="13" t="n">
        <v>38.6</v>
      </c>
      <c r="AC21" s="6" t="n">
        <f aca="false">IF(AB21="","",ROUND(((AB21-AJ$11)/AJ$12)*AJ$18+AJ$17,1))</f>
        <v>37.9</v>
      </c>
      <c r="AD21" s="17" t="n">
        <v>1589.7</v>
      </c>
      <c r="AE21" s="6" t="n">
        <f aca="false">IF(AD21="","",ROUND(((AD21-AJ$13)/AJ$14)*AJ$18+AJ$17,1))</f>
        <v>36.9</v>
      </c>
      <c r="AF21" s="13" t="n">
        <v>38</v>
      </c>
      <c r="AG21" s="6" t="n">
        <f aca="false">IF(AF21="","",ROUND(((AF21-AJ$15)/AJ$16)*AJ$18+AJ$17,1))</f>
        <v>38</v>
      </c>
      <c r="AH21" s="12"/>
      <c r="AM21" s="5" t="s">
        <v>79</v>
      </c>
      <c r="AN21" s="5" t="s">
        <v>96</v>
      </c>
      <c r="AO21" s="6" t="n">
        <f aca="false">IFERROR(ROUND(MAX(0,AVERAGE(AR21,AT21)),1),"")</f>
        <v>23.3</v>
      </c>
      <c r="AP21" s="7" t="n">
        <f aca="false">COUNT(AQ21,AS21)</f>
        <v>2</v>
      </c>
      <c r="AQ21" s="13" t="n">
        <v>18</v>
      </c>
      <c r="AR21" s="6" t="n">
        <f aca="false">IF(AQ21="","",ROUND(((AQ21-BC$7)/BC$8)*BC$12+BC$11,1))</f>
        <v>20.7</v>
      </c>
      <c r="AS21" s="13" t="n">
        <v>39</v>
      </c>
      <c r="AT21" s="6" t="n">
        <f aca="false">IF(AS21="","",ROUND(((AS21-BC$9)/BC$10)*BC$12+BC$11,1))</f>
        <v>25.9</v>
      </c>
      <c r="AU21" s="14"/>
      <c r="AV21" s="14"/>
      <c r="AW21" s="14"/>
      <c r="AX21" s="14"/>
      <c r="AY21" s="14"/>
      <c r="AZ21" s="14"/>
      <c r="BA21" s="12"/>
    </row>
    <row r="22" customFormat="false" ht="15" hidden="false" customHeight="true" outlineLevel="0" collapsed="false">
      <c r="A22" s="5" t="s">
        <v>79</v>
      </c>
      <c r="B22" s="5" t="s">
        <v>96</v>
      </c>
      <c r="C22" s="6" t="n">
        <f aca="false">IFERROR(ROUND(MAX(0,AVERAGE(F22,H22,J22,L22,N22)),1),"")</f>
        <v>36</v>
      </c>
      <c r="D22" s="7" t="n">
        <f aca="false">COUNT(E22,G22,I22,K22,M22)</f>
        <v>5</v>
      </c>
      <c r="E22" s="13" t="n">
        <v>40</v>
      </c>
      <c r="F22" s="6" t="n">
        <f aca="false">IF(E22="","",ROUND(((E22-Q$7)/Q$8)*Q$18+Q$17,1))</f>
        <v>34.9</v>
      </c>
      <c r="G22" s="13" t="n">
        <v>20</v>
      </c>
      <c r="H22" s="6" t="n">
        <f aca="false">IF(G22="","",ROUND(((G22-Q$9)/Q$10)*Q$18+Q$17,1))</f>
        <v>31.1</v>
      </c>
      <c r="I22" s="17" t="n">
        <v>36.5</v>
      </c>
      <c r="J22" s="6" t="n">
        <f aca="false">IF(I22="","",ROUND(((I22-Q$11)/Q$12)*Q$18+Q$17,1))</f>
        <v>34.5</v>
      </c>
      <c r="K22" s="13" t="n">
        <v>1563</v>
      </c>
      <c r="L22" s="6" t="n">
        <f aca="false">IF(K22="","",ROUND(((K22-Q$13)/Q$14)*Q$18+Q$17,1))</f>
        <v>36.6</v>
      </c>
      <c r="M22" s="13" t="n">
        <v>43</v>
      </c>
      <c r="N22" s="6" t="n">
        <f aca="false">IF(M22="","",ROUND(((M22-Q$15)/Q$16)*Q$18+Q$17,1))</f>
        <v>43</v>
      </c>
      <c r="O22" s="12"/>
      <c r="T22" s="5" t="s">
        <v>79</v>
      </c>
      <c r="U22" s="5" t="s">
        <v>96</v>
      </c>
      <c r="V22" s="6" t="n">
        <f aca="false">IFERROR(MIN(ROUND(MAX(0,AVERAGE(Y22,AA22,AC22,AE22,AG22)),1),35.9),"")</f>
        <v>34.5</v>
      </c>
      <c r="W22" s="7" t="n">
        <f aca="false">COUNT(X22,Z22,AB22,AD22,AF22)</f>
        <v>5</v>
      </c>
      <c r="X22" s="13" t="n">
        <v>38</v>
      </c>
      <c r="Y22" s="6" t="n">
        <f aca="false">IF(X22="","",ROUND(((X22-AJ$7)/AJ$8)*AJ$18+AJ$17,1))</f>
        <v>33.5</v>
      </c>
      <c r="Z22" s="13" t="n">
        <v>19</v>
      </c>
      <c r="AA22" s="6" t="n">
        <f aca="false">IF(Z22="","",ROUND(((Z22-AJ$9)/AJ$10)*AJ$18+AJ$17,1))</f>
        <v>30</v>
      </c>
      <c r="AB22" s="13" t="n">
        <v>34.7</v>
      </c>
      <c r="AC22" s="6" t="n">
        <f aca="false">IF(AB22="","",ROUND(((AB22-AJ$11)/AJ$12)*AJ$18+AJ$17,1))</f>
        <v>33.7</v>
      </c>
      <c r="AD22" s="17" t="n">
        <v>1484.8</v>
      </c>
      <c r="AE22" s="6" t="n">
        <f aca="false">IF(AD22="","",ROUND(((AD22-AJ$13)/AJ$14)*AJ$18+AJ$17,1))</f>
        <v>34.5</v>
      </c>
      <c r="AF22" s="13" t="n">
        <v>41</v>
      </c>
      <c r="AG22" s="6" t="n">
        <f aca="false">IF(AF22="","",ROUND(((AF22-AJ$15)/AJ$16)*AJ$18+AJ$17,1))</f>
        <v>41</v>
      </c>
      <c r="AH22" s="12"/>
      <c r="AM22" s="5" t="s">
        <v>79</v>
      </c>
      <c r="AN22" s="5" t="s">
        <v>95</v>
      </c>
      <c r="AO22" s="6" t="n">
        <f aca="false">IFERROR(ROUND(MAX(0,AVERAGE(AR22,AT22)),1),"")</f>
        <v>20.6</v>
      </c>
      <c r="AP22" s="7" t="n">
        <f aca="false">COUNT(AQ22,AS22)</f>
        <v>2</v>
      </c>
      <c r="AQ22" s="13" t="n">
        <v>15</v>
      </c>
      <c r="AR22" s="6" t="n">
        <f aca="false">IF(AQ22="","",ROUND(((AQ22-BC$7)/BC$8)*BC$12+BC$11,1))</f>
        <v>17</v>
      </c>
      <c r="AS22" s="13" t="n">
        <v>37</v>
      </c>
      <c r="AT22" s="6" t="n">
        <f aca="false">IF(AS22="","",ROUND(((AS22-BC$9)/BC$10)*BC$12+BC$11,1))</f>
        <v>24.1</v>
      </c>
      <c r="AU22" s="14"/>
      <c r="AV22" s="14"/>
      <c r="AW22" s="14"/>
      <c r="AX22" s="14"/>
      <c r="AY22" s="14"/>
      <c r="AZ22" s="14"/>
      <c r="BA22" s="12"/>
    </row>
    <row r="23" customFormat="false" ht="15" hidden="false" customHeight="true" outlineLevel="0" collapsed="false">
      <c r="A23" s="5" t="s">
        <v>79</v>
      </c>
      <c r="B23" s="5" t="s">
        <v>97</v>
      </c>
      <c r="C23" s="6" t="n">
        <f aca="false">IFERROR(ROUND(MAX(0,AVERAGE(F23,H23,J23,L23,N23)),1),"")</f>
        <v>33.3</v>
      </c>
      <c r="D23" s="7" t="n">
        <f aca="false">COUNT(E23,G23,I23,K23,M23)</f>
        <v>5</v>
      </c>
      <c r="E23" s="13" t="n">
        <v>40</v>
      </c>
      <c r="F23" s="6" t="n">
        <f aca="false">IF(E23="","",ROUND(((E23-Q$7)/Q$8)*Q$18+Q$17,1))</f>
        <v>34.9</v>
      </c>
      <c r="G23" s="13" t="n">
        <v>18</v>
      </c>
      <c r="H23" s="6" t="n">
        <f aca="false">IF(G23="","",ROUND(((G23-Q$9)/Q$10)*Q$18+Q$17,1))</f>
        <v>28.2</v>
      </c>
      <c r="I23" s="17" t="n">
        <v>38.9</v>
      </c>
      <c r="J23" s="6" t="n">
        <f aca="false">IF(I23="","",ROUND(((I23-Q$11)/Q$12)*Q$18+Q$17,1))</f>
        <v>37.1</v>
      </c>
      <c r="K23" s="13" t="n">
        <v>1511</v>
      </c>
      <c r="L23" s="6" t="n">
        <f aca="false">IF(K23="","",ROUND(((K23-Q$13)/Q$14)*Q$18+Q$17,1))</f>
        <v>35.4</v>
      </c>
      <c r="M23" s="13" t="n">
        <v>31</v>
      </c>
      <c r="N23" s="6" t="n">
        <f aca="false">IF(M23="","",ROUND(((M23-Q$15)/Q$16)*Q$18+Q$17,1))</f>
        <v>31</v>
      </c>
      <c r="O23" s="12"/>
      <c r="T23" s="5" t="s">
        <v>79</v>
      </c>
      <c r="U23" s="5" t="s">
        <v>97</v>
      </c>
      <c r="V23" s="6" t="n">
        <f aca="false">IFERROR(MIN(ROUND(MAX(0,AVERAGE(Y23,AA23,AC23,AE23,AG23)),1),33.2),"")</f>
        <v>32.4</v>
      </c>
      <c r="W23" s="7" t="n">
        <f aca="false">COUNT(X23,Z23,AB23,AD23,AF23)</f>
        <v>5</v>
      </c>
      <c r="X23" s="13" t="n">
        <v>38</v>
      </c>
      <c r="Y23" s="6" t="n">
        <f aca="false">IF(X23="","",ROUND(((X23-AJ$7)/AJ$8)*AJ$18+AJ$17,1))</f>
        <v>33.5</v>
      </c>
      <c r="Z23" s="13" t="n">
        <v>17.5</v>
      </c>
      <c r="AA23" s="6" t="n">
        <f aca="false">IF(Z23="","",ROUND(((Z23-AJ$9)/AJ$10)*AJ$18+AJ$17,1))</f>
        <v>27.8</v>
      </c>
      <c r="AB23" s="13" t="n">
        <v>37.6</v>
      </c>
      <c r="AC23" s="6" t="n">
        <f aca="false">IF(AB23="","",ROUND(((AB23-AJ$11)/AJ$12)*AJ$18+AJ$17,1))</f>
        <v>36.9</v>
      </c>
      <c r="AD23" s="17" t="n">
        <v>1462.3</v>
      </c>
      <c r="AE23" s="6" t="n">
        <f aca="false">IF(AD23="","",ROUND(((AD23-AJ$13)/AJ$14)*AJ$18+AJ$17,1))</f>
        <v>34</v>
      </c>
      <c r="AF23" s="13" t="n">
        <v>30</v>
      </c>
      <c r="AG23" s="6" t="n">
        <f aca="false">IF(AF23="","",ROUND(((AF23-AJ$15)/AJ$16)*AJ$18+AJ$17,1))</f>
        <v>30</v>
      </c>
      <c r="AH23" s="12"/>
      <c r="AM23" s="5" t="s">
        <v>79</v>
      </c>
      <c r="AN23" s="5" t="s">
        <v>98</v>
      </c>
      <c r="AO23" s="6" t="n">
        <f aca="false">IFERROR(ROUND(MAX(0,AVERAGE(AR23,AT23)),1),"")</f>
        <v>19.6</v>
      </c>
      <c r="AP23" s="7" t="n">
        <f aca="false">COUNT(AQ23,AS23)</f>
        <v>2</v>
      </c>
      <c r="AQ23" s="13" t="n">
        <v>17</v>
      </c>
      <c r="AR23" s="6" t="n">
        <f aca="false">IF(AQ23="","",ROUND(((AQ23-BC$7)/BC$8)*BC$12+BC$11,1))</f>
        <v>19.5</v>
      </c>
      <c r="AS23" s="13" t="n">
        <v>32</v>
      </c>
      <c r="AT23" s="6" t="n">
        <f aca="false">IF(AS23="","",ROUND(((AS23-BC$9)/BC$10)*BC$12+BC$11,1))</f>
        <v>19.7</v>
      </c>
      <c r="AU23" s="14"/>
      <c r="AV23" s="14"/>
      <c r="AW23" s="14"/>
      <c r="AX23" s="14"/>
      <c r="AY23" s="14"/>
      <c r="AZ23" s="14"/>
      <c r="BA23" s="12"/>
    </row>
    <row r="24" customFormat="false" ht="15" hidden="false" customHeight="true" outlineLevel="0" collapsed="false">
      <c r="A24" s="5" t="s">
        <v>79</v>
      </c>
      <c r="B24" s="5" t="s">
        <v>99</v>
      </c>
      <c r="C24" s="6" t="n">
        <f aca="false">IFERROR(ROUND(MAX(0,AVERAGE(F24,H24,J24,L24,N24)),1),"")</f>
        <v>31.1</v>
      </c>
      <c r="D24" s="7" t="n">
        <f aca="false">COUNT(E24,G24,I24,K24,M24)</f>
        <v>5</v>
      </c>
      <c r="E24" s="13" t="n">
        <v>37</v>
      </c>
      <c r="F24" s="6" t="n">
        <f aca="false">IF(E24="","",ROUND(((E24-Q$7)/Q$8)*Q$18+Q$17,1))</f>
        <v>32.3</v>
      </c>
      <c r="G24" s="13" t="n">
        <v>13</v>
      </c>
      <c r="H24" s="6" t="n">
        <f aca="false">IF(G24="","",ROUND(((G24-Q$9)/Q$10)*Q$18+Q$17,1))</f>
        <v>20.9</v>
      </c>
      <c r="I24" s="17" t="n">
        <v>41.9</v>
      </c>
      <c r="J24" s="6" t="n">
        <f aca="false">IF(I24="","",ROUND(((I24-Q$11)/Q$12)*Q$18+Q$17,1))</f>
        <v>40.3</v>
      </c>
      <c r="K24" s="13" t="n">
        <v>1375</v>
      </c>
      <c r="L24" s="6" t="n">
        <f aca="false">IF(K24="","",ROUND(((K24-Q$13)/Q$14)*Q$18+Q$17,1))</f>
        <v>32.2</v>
      </c>
      <c r="M24" s="13" t="n">
        <v>30</v>
      </c>
      <c r="N24" s="6" t="n">
        <f aca="false">IF(M24="","",ROUND(((M24-Q$15)/Q$16)*Q$18+Q$17,1))</f>
        <v>30</v>
      </c>
      <c r="O24" s="12"/>
      <c r="T24" s="5" t="s">
        <v>79</v>
      </c>
      <c r="U24" s="5" t="s">
        <v>99</v>
      </c>
      <c r="V24" s="6" t="n">
        <f aca="false">IFERROR(MIN(ROUND(MAX(0,AVERAGE(Y24,AA24,AC24,AE24,AG24)),1),31.1),"")</f>
        <v>29.8</v>
      </c>
      <c r="W24" s="7" t="n">
        <f aca="false">COUNT(X24,Z24,AB24,AD24,AF24)</f>
        <v>5</v>
      </c>
      <c r="X24" s="13" t="n">
        <v>35</v>
      </c>
      <c r="Y24" s="6" t="n">
        <f aca="false">IF(X24="","",ROUND(((X24-AJ$7)/AJ$8)*AJ$18+AJ$17,1))</f>
        <v>31</v>
      </c>
      <c r="Z24" s="13" t="n">
        <v>12</v>
      </c>
      <c r="AA24" s="6" t="n">
        <f aca="false">IF(Z24="","",ROUND(((Z24-AJ$9)/AJ$10)*AJ$18+AJ$17,1))</f>
        <v>19.7</v>
      </c>
      <c r="AB24" s="13" t="n">
        <v>39.6</v>
      </c>
      <c r="AC24" s="6" t="n">
        <f aca="false">IF(AB24="","",ROUND(((AB24-AJ$11)/AJ$12)*AJ$18+AJ$17,1))</f>
        <v>39</v>
      </c>
      <c r="AD24" s="17" t="n">
        <v>1300.7</v>
      </c>
      <c r="AE24" s="6" t="n">
        <f aca="false">IF(AD24="","",ROUND(((AD24-AJ$13)/AJ$14)*AJ$18+AJ$17,1))</f>
        <v>30.3</v>
      </c>
      <c r="AF24" s="13" t="n">
        <v>29</v>
      </c>
      <c r="AG24" s="6" t="n">
        <f aca="false">IF(AF24="","",ROUND(((AF24-AJ$15)/AJ$16)*AJ$18+AJ$17,1))</f>
        <v>29</v>
      </c>
      <c r="AH24" s="12"/>
      <c r="AM24" s="5" t="s">
        <v>79</v>
      </c>
      <c r="AN24" s="5" t="s">
        <v>97</v>
      </c>
      <c r="AO24" s="6" t="n">
        <f aca="false">IFERROR(ROUND(MAX(0,AVERAGE(AR24,AT24)),1),"")</f>
        <v>18.3</v>
      </c>
      <c r="AP24" s="7" t="n">
        <f aca="false">COUNT(AQ24,AS24)</f>
        <v>2</v>
      </c>
      <c r="AQ24" s="13" t="n">
        <v>17</v>
      </c>
      <c r="AR24" s="6" t="n">
        <f aca="false">IF(AQ24="","",ROUND(((AQ24-BC$7)/BC$8)*BC$12+BC$11,1))</f>
        <v>19.5</v>
      </c>
      <c r="AS24" s="13" t="n">
        <v>29</v>
      </c>
      <c r="AT24" s="6" t="n">
        <f aca="false">IF(AS24="","",ROUND(((AS24-BC$9)/BC$10)*BC$12+BC$11,1))</f>
        <v>17</v>
      </c>
      <c r="AU24" s="14"/>
      <c r="AV24" s="14"/>
      <c r="AW24" s="14"/>
      <c r="AX24" s="14"/>
      <c r="AY24" s="14"/>
      <c r="AZ24" s="14"/>
      <c r="BA24" s="12"/>
    </row>
    <row r="25" customFormat="false" ht="15" hidden="false" customHeight="true" outlineLevel="0" collapsed="false">
      <c r="A25" s="5" t="s">
        <v>79</v>
      </c>
      <c r="B25" s="5" t="s">
        <v>98</v>
      </c>
      <c r="C25" s="6" t="n">
        <f aca="false">IFERROR(ROUND(MAX(0,AVERAGE(F25,H25,J25,L25,N25)),1),"")</f>
        <v>30.1</v>
      </c>
      <c r="D25" s="7" t="n">
        <f aca="false">COUNT(E25,G25,I25,K25,M25)</f>
        <v>5</v>
      </c>
      <c r="E25" s="13" t="n">
        <v>34</v>
      </c>
      <c r="F25" s="6" t="n">
        <f aca="false">IF(E25="","",ROUND(((E25-Q$7)/Q$8)*Q$18+Q$17,1))</f>
        <v>29.8</v>
      </c>
      <c r="G25" s="13" t="n">
        <v>18</v>
      </c>
      <c r="H25" s="6" t="n">
        <f aca="false">IF(G25="","",ROUND(((G25-Q$9)/Q$10)*Q$18+Q$17,1))</f>
        <v>28.2</v>
      </c>
      <c r="I25" s="17" t="n">
        <v>33.6</v>
      </c>
      <c r="J25" s="6" t="n">
        <f aca="false">IF(I25="","",ROUND(((I25-Q$11)/Q$12)*Q$18+Q$17,1))</f>
        <v>31.3</v>
      </c>
      <c r="K25" s="13" t="n">
        <v>1105</v>
      </c>
      <c r="L25" s="6" t="n">
        <f aca="false">IF(K25="","",ROUND(((K25-Q$13)/Q$14)*Q$18+Q$17,1))</f>
        <v>26</v>
      </c>
      <c r="M25" s="13" t="n">
        <v>35</v>
      </c>
      <c r="N25" s="6" t="n">
        <f aca="false">IF(M25="","",ROUND(((M25-Q$15)/Q$16)*Q$18+Q$17,1))</f>
        <v>35</v>
      </c>
      <c r="O25" s="12"/>
      <c r="T25" s="5" t="s">
        <v>79</v>
      </c>
      <c r="U25" s="5" t="s">
        <v>98</v>
      </c>
      <c r="V25" s="6" t="n">
        <f aca="false">IFERROR(MIN(ROUND(MAX(0,AVERAGE(Y25,AA25,AC25,AE25,AG25)),1),30),"")</f>
        <v>28.8</v>
      </c>
      <c r="W25" s="7" t="n">
        <f aca="false">COUNT(X25,Z25,AB25,AD25,AF25)</f>
        <v>5</v>
      </c>
      <c r="X25" s="13" t="n">
        <v>32</v>
      </c>
      <c r="Y25" s="6" t="n">
        <f aca="false">IF(X25="","",ROUND(((X25-AJ$7)/AJ$8)*AJ$18+AJ$17,1))</f>
        <v>28.5</v>
      </c>
      <c r="Z25" s="13" t="n">
        <v>17.5</v>
      </c>
      <c r="AA25" s="6" t="n">
        <f aca="false">IF(Z25="","",ROUND(((Z25-AJ$9)/AJ$10)*AJ$18+AJ$17,1))</f>
        <v>27.8</v>
      </c>
      <c r="AB25" s="13" t="n">
        <v>31.7</v>
      </c>
      <c r="AC25" s="6" t="n">
        <f aca="false">IF(AB25="","",ROUND(((AB25-AJ$11)/AJ$12)*AJ$18+AJ$17,1))</f>
        <v>30.5</v>
      </c>
      <c r="AD25" s="17" t="n">
        <v>1041.9</v>
      </c>
      <c r="AE25" s="6" t="n">
        <f aca="false">IF(AD25="","",ROUND(((AD25-AJ$13)/AJ$14)*AJ$18+AJ$17,1))</f>
        <v>24.4</v>
      </c>
      <c r="AF25" s="13" t="n">
        <v>33</v>
      </c>
      <c r="AG25" s="6" t="n">
        <f aca="false">IF(AF25="","",ROUND(((AF25-AJ$15)/AJ$16)*AJ$18+AJ$17,1))</f>
        <v>33</v>
      </c>
      <c r="AH25" s="12"/>
      <c r="AM25" s="5" t="s">
        <v>79</v>
      </c>
      <c r="AN25" s="5" t="s">
        <v>99</v>
      </c>
      <c r="AO25" s="6" t="n">
        <f aca="false">IFERROR(ROUND(MAX(0,AVERAGE(AR25,AT25)),1),"")</f>
        <v>14.1</v>
      </c>
      <c r="AP25" s="7" t="n">
        <f aca="false">COUNT(AQ25,AS25)</f>
        <v>2</v>
      </c>
      <c r="AQ25" s="13" t="n">
        <v>11</v>
      </c>
      <c r="AR25" s="6" t="n">
        <f aca="false">IF(AQ25="","",ROUND(((AQ25-BC$7)/BC$8)*BC$12+BC$11,1))</f>
        <v>12</v>
      </c>
      <c r="AS25" s="13" t="n">
        <v>28</v>
      </c>
      <c r="AT25" s="6" t="n">
        <f aca="false">IF(AS25="","",ROUND(((AS25-BC$9)/BC$10)*BC$12+BC$11,1))</f>
        <v>16.2</v>
      </c>
      <c r="AU25" s="14"/>
      <c r="AV25" s="14"/>
      <c r="AW25" s="14"/>
      <c r="AX25" s="14"/>
      <c r="AY25" s="14"/>
      <c r="AZ25" s="14"/>
      <c r="BA25" s="12"/>
    </row>
    <row r="26" customFormat="false" ht="15" hidden="false" customHeight="true" outlineLevel="0" collapsed="false">
      <c r="A26" s="5" t="s">
        <v>79</v>
      </c>
      <c r="B26" s="5" t="s">
        <v>100</v>
      </c>
      <c r="C26" s="6" t="n">
        <f aca="false">IFERROR(ROUND(MAX(0,AVERAGE(F26,H26,J26,L26,N26)),1),"")</f>
        <v>26.9</v>
      </c>
      <c r="D26" s="7" t="n">
        <f aca="false">COUNT(E26,G26,I26,K26,M26)</f>
        <v>5</v>
      </c>
      <c r="E26" s="13" t="n">
        <v>30</v>
      </c>
      <c r="F26" s="6" t="n">
        <f aca="false">IF(E26="","",ROUND(((E26-Q$7)/Q$8)*Q$18+Q$17,1))</f>
        <v>26.3</v>
      </c>
      <c r="G26" s="13" t="n">
        <v>13</v>
      </c>
      <c r="H26" s="6" t="n">
        <f aca="false">IF(G26="","",ROUND(((G26-Q$9)/Q$10)*Q$18+Q$17,1))</f>
        <v>20.9</v>
      </c>
      <c r="I26" s="17" t="n">
        <v>34.4</v>
      </c>
      <c r="J26" s="6" t="n">
        <f aca="false">IF(I26="","",ROUND(((I26-Q$11)/Q$12)*Q$18+Q$17,1))</f>
        <v>32.2</v>
      </c>
      <c r="K26" s="13" t="n">
        <v>1205</v>
      </c>
      <c r="L26" s="6" t="n">
        <f aca="false">IF(K26="","",ROUND(((K26-Q$13)/Q$14)*Q$18+Q$17,1))</f>
        <v>28.3</v>
      </c>
      <c r="M26" s="13" t="n">
        <v>27</v>
      </c>
      <c r="N26" s="6" t="n">
        <f aca="false">IF(M26="","",ROUND(((M26-Q$15)/Q$16)*Q$18+Q$17,1))</f>
        <v>27</v>
      </c>
      <c r="O26" s="12"/>
      <c r="T26" s="5" t="s">
        <v>79</v>
      </c>
      <c r="U26" s="5" t="s">
        <v>100</v>
      </c>
      <c r="V26" s="6" t="n">
        <f aca="false">IFERROR(MIN(ROUND(MAX(0,AVERAGE(Y26,AA26,AC26,AE26,AG26)),1),26.9),"")</f>
        <v>26.1</v>
      </c>
      <c r="W26" s="7" t="n">
        <f aca="false">COUNT(X26,Z26,AB26,AD26,AF26)</f>
        <v>5</v>
      </c>
      <c r="X26" s="13" t="n">
        <v>28</v>
      </c>
      <c r="Y26" s="6" t="n">
        <f aca="false">IF(X26="","",ROUND(((X26-AJ$7)/AJ$8)*AJ$18+AJ$17,1))</f>
        <v>25.1</v>
      </c>
      <c r="Z26" s="13" t="n">
        <v>12.5</v>
      </c>
      <c r="AA26" s="6" t="n">
        <f aca="false">IF(Z26="","",ROUND(((Z26-AJ$9)/AJ$10)*AJ$18+AJ$17,1))</f>
        <v>20.5</v>
      </c>
      <c r="AB26" s="13" t="n">
        <v>33.1</v>
      </c>
      <c r="AC26" s="6" t="n">
        <f aca="false">IF(AB26="","",ROUND(((AB26-AJ$11)/AJ$12)*AJ$18+AJ$17,1))</f>
        <v>32</v>
      </c>
      <c r="AD26" s="17" t="n">
        <v>1158.7</v>
      </c>
      <c r="AE26" s="6" t="n">
        <f aca="false">IF(AD26="","",ROUND(((AD26-AJ$13)/AJ$14)*AJ$18+AJ$17,1))</f>
        <v>27.1</v>
      </c>
      <c r="AF26" s="13" t="n">
        <v>26</v>
      </c>
      <c r="AG26" s="6" t="n">
        <f aca="false">IF(AF26="","",ROUND(((AF26-AJ$15)/AJ$16)*AJ$18+AJ$17,1))</f>
        <v>26</v>
      </c>
      <c r="AH26" s="12"/>
      <c r="AM26" s="5" t="s">
        <v>79</v>
      </c>
      <c r="AN26" s="5" t="s">
        <v>100</v>
      </c>
      <c r="AO26" s="6" t="n">
        <f aca="false">IFERROR(ROUND(MAX(0,AVERAGE(AR26,AT26)),1),"")</f>
        <v>13.4</v>
      </c>
      <c r="AP26" s="7" t="n">
        <f aca="false">COUNT(AQ26,AS26)</f>
        <v>2</v>
      </c>
      <c r="AQ26" s="13" t="n">
        <v>12</v>
      </c>
      <c r="AR26" s="6" t="n">
        <f aca="false">IF(AQ26="","",ROUND(((AQ26-BC$7)/BC$8)*BC$12+BC$11,1))</f>
        <v>13.2</v>
      </c>
      <c r="AS26" s="13" t="n">
        <v>25</v>
      </c>
      <c r="AT26" s="6" t="n">
        <f aca="false">IF(AS26="","",ROUND(((AS26-BC$9)/BC$10)*BC$12+BC$11,1))</f>
        <v>13.5</v>
      </c>
      <c r="AU26" s="14"/>
      <c r="AV26" s="14"/>
      <c r="AW26" s="14"/>
      <c r="AX26" s="14"/>
      <c r="AY26" s="14"/>
      <c r="AZ26" s="14"/>
      <c r="BA26" s="12"/>
    </row>
    <row r="27" customFormat="false" ht="15" hidden="false" customHeight="true" outlineLevel="0" collapsed="false">
      <c r="A27" s="5" t="s">
        <v>79</v>
      </c>
      <c r="B27" s="5" t="s">
        <v>101</v>
      </c>
      <c r="C27" s="6" t="n">
        <f aca="false">IFERROR(ROUND(MAX(0,AVERAGE(F27,H27,J27,L27,N27)),1),"")</f>
        <v>26.7</v>
      </c>
      <c r="D27" s="7" t="n">
        <f aca="false">COUNT(E27,G27,I27,K27,M27)</f>
        <v>5</v>
      </c>
      <c r="E27" s="13" t="n">
        <v>30</v>
      </c>
      <c r="F27" s="6" t="n">
        <f aca="false">IF(E27="","",ROUND(((E27-Q$7)/Q$8)*Q$18+Q$17,1))</f>
        <v>26.3</v>
      </c>
      <c r="G27" s="13" t="n">
        <v>12</v>
      </c>
      <c r="H27" s="6" t="n">
        <f aca="false">IF(G27="","",ROUND(((G27-Q$9)/Q$10)*Q$18+Q$17,1))</f>
        <v>19.4</v>
      </c>
      <c r="I27" s="17" t="n">
        <v>34.5</v>
      </c>
      <c r="J27" s="6" t="n">
        <f aca="false">IF(I27="","",ROUND(((I27-Q$11)/Q$12)*Q$18+Q$17,1))</f>
        <v>32.3</v>
      </c>
      <c r="K27" s="13" t="n">
        <v>1256</v>
      </c>
      <c r="L27" s="6" t="n">
        <f aca="false">IF(K27="","",ROUND(((K27-Q$13)/Q$14)*Q$18+Q$17,1))</f>
        <v>29.5</v>
      </c>
      <c r="M27" s="13" t="n">
        <v>26</v>
      </c>
      <c r="N27" s="6" t="n">
        <f aca="false">IF(M27="","",ROUND(((M27-Q$15)/Q$16)*Q$18+Q$17,1))</f>
        <v>26</v>
      </c>
      <c r="O27" s="12"/>
      <c r="T27" s="5" t="s">
        <v>79</v>
      </c>
      <c r="U27" s="5" t="s">
        <v>101</v>
      </c>
      <c r="V27" s="6" t="n">
        <f aca="false">IFERROR(MIN(ROUND(MAX(0,AVERAGE(Y27,AA27,AC27,AE27,AG27)),1),26.7),"")</f>
        <v>25.8</v>
      </c>
      <c r="W27" s="7" t="n">
        <f aca="false">COUNT(X27,Z27,AB27,AD27,AF27)</f>
        <v>5</v>
      </c>
      <c r="X27" s="13" t="n">
        <v>28</v>
      </c>
      <c r="Y27" s="6" t="n">
        <f aca="false">IF(X27="","",ROUND(((X27-AJ$7)/AJ$8)*AJ$18+AJ$17,1))</f>
        <v>25.1</v>
      </c>
      <c r="Z27" s="13" t="n">
        <v>11.5</v>
      </c>
      <c r="AA27" s="6" t="n">
        <f aca="false">IF(Z27="","",ROUND(((Z27-AJ$9)/AJ$10)*AJ$18+AJ$17,1))</f>
        <v>19</v>
      </c>
      <c r="AB27" s="13" t="n">
        <v>33.1</v>
      </c>
      <c r="AC27" s="6" t="n">
        <f aca="false">IF(AB27="","",ROUND(((AB27-AJ$11)/AJ$12)*AJ$18+AJ$17,1))</f>
        <v>32</v>
      </c>
      <c r="AD27" s="17" t="n">
        <v>1203.7</v>
      </c>
      <c r="AE27" s="6" t="n">
        <f aca="false">IF(AD27="","",ROUND(((AD27-AJ$13)/AJ$14)*AJ$18+AJ$17,1))</f>
        <v>28.1</v>
      </c>
      <c r="AF27" s="13" t="n">
        <v>25</v>
      </c>
      <c r="AG27" s="6" t="n">
        <f aca="false">IF(AF27="","",ROUND(((AF27-AJ$15)/AJ$16)*AJ$18+AJ$17,1))</f>
        <v>25</v>
      </c>
      <c r="AH27" s="12"/>
      <c r="AM27" s="5" t="s">
        <v>79</v>
      </c>
      <c r="AN27" s="5" t="s">
        <v>101</v>
      </c>
      <c r="AO27" s="6" t="n">
        <f aca="false">IFERROR(ROUND(MAX(0,AVERAGE(AR27,AT27)),1),"")</f>
        <v>12.3</v>
      </c>
      <c r="AP27" s="7" t="n">
        <f aca="false">COUNT(AQ27,AS27)</f>
        <v>2</v>
      </c>
      <c r="AQ27" s="13" t="n">
        <v>11</v>
      </c>
      <c r="AR27" s="6" t="n">
        <f aca="false">IF(AQ27="","",ROUND(((AQ27-BC$7)/BC$8)*BC$12+BC$11,1))</f>
        <v>12</v>
      </c>
      <c r="AS27" s="13" t="n">
        <v>24</v>
      </c>
      <c r="AT27" s="6" t="n">
        <f aca="false">IF(AS27="","",ROUND(((AS27-BC$9)/BC$10)*BC$12+BC$11,1))</f>
        <v>12.6</v>
      </c>
      <c r="AU27" s="14"/>
      <c r="AV27" s="14"/>
      <c r="AW27" s="14"/>
      <c r="AX27" s="14"/>
      <c r="AY27" s="14"/>
      <c r="AZ27" s="14"/>
      <c r="BA27" s="12"/>
    </row>
    <row r="28" customFormat="false" ht="15" hidden="false" customHeight="true" outlineLevel="0" collapsed="false">
      <c r="A28" s="5" t="s">
        <v>79</v>
      </c>
      <c r="B28" s="5" t="s">
        <v>102</v>
      </c>
      <c r="C28" s="6" t="n">
        <f aca="false">IFERROR(ROUND(MAX(0,AVERAGE(F28,H28,J28,L28,N28)),1),"")</f>
        <v>23.4</v>
      </c>
      <c r="D28" s="7" t="n">
        <f aca="false">COUNT(E28,G28,I28,K28,M28)</f>
        <v>5</v>
      </c>
      <c r="E28" s="13" t="n">
        <v>30</v>
      </c>
      <c r="F28" s="6" t="n">
        <f aca="false">IF(E28="","",ROUND(((E28-Q$7)/Q$8)*Q$18+Q$17,1))</f>
        <v>26.3</v>
      </c>
      <c r="G28" s="13" t="n">
        <v>7</v>
      </c>
      <c r="H28" s="6" t="n">
        <f aca="false">IF(G28="","",ROUND(((G28-Q$9)/Q$10)*Q$18+Q$17,1))</f>
        <v>12.1</v>
      </c>
      <c r="I28" s="17" t="n">
        <v>29.5</v>
      </c>
      <c r="J28" s="6" t="n">
        <f aca="false">IF(I28="","",ROUND(((I28-Q$11)/Q$12)*Q$18+Q$17,1))</f>
        <v>26.9</v>
      </c>
      <c r="K28" s="13" t="n">
        <v>1273</v>
      </c>
      <c r="L28" s="6" t="n">
        <f aca="false">IF(K28="","",ROUND(((K28-Q$13)/Q$14)*Q$18+Q$17,1))</f>
        <v>29.9</v>
      </c>
      <c r="M28" s="13" t="n">
        <v>22</v>
      </c>
      <c r="N28" s="6" t="n">
        <f aca="false">IF(M28="","",ROUND(((M28-Q$15)/Q$16)*Q$18+Q$17,1))</f>
        <v>22</v>
      </c>
      <c r="O28" s="12"/>
      <c r="T28" s="5" t="s">
        <v>79</v>
      </c>
      <c r="U28" s="5" t="s">
        <v>102</v>
      </c>
      <c r="V28" s="6" t="n">
        <f aca="false">IFERROR(MIN(ROUND(MAX(0,AVERAGE(Y28,AA28,AC28,AE28,AG28)),1),23.4),"")</f>
        <v>22.7</v>
      </c>
      <c r="W28" s="7" t="n">
        <f aca="false">COUNT(X28,Z28,AB28,AD28,AF28)</f>
        <v>5</v>
      </c>
      <c r="X28" s="13" t="n">
        <v>28</v>
      </c>
      <c r="Y28" s="6" t="n">
        <f aca="false">IF(X28="","",ROUND(((X28-AJ$7)/AJ$8)*AJ$18+AJ$17,1))</f>
        <v>25.1</v>
      </c>
      <c r="Z28" s="13" t="n">
        <v>7</v>
      </c>
      <c r="AA28" s="6" t="n">
        <f aca="false">IF(Z28="","",ROUND(((Z28-AJ$9)/AJ$10)*AJ$18+AJ$17,1))</f>
        <v>12.4</v>
      </c>
      <c r="AB28" s="13" t="n">
        <v>28.2</v>
      </c>
      <c r="AC28" s="6" t="n">
        <f aca="false">IF(AB28="","",ROUND(((AB28-AJ$11)/AJ$12)*AJ$18+AJ$17,1))</f>
        <v>26.7</v>
      </c>
      <c r="AD28" s="17" t="n">
        <v>1215.1</v>
      </c>
      <c r="AE28" s="6" t="n">
        <f aca="false">IF(AD28="","",ROUND(((AD28-AJ$13)/AJ$14)*AJ$18+AJ$17,1))</f>
        <v>28.4</v>
      </c>
      <c r="AF28" s="13" t="n">
        <v>21</v>
      </c>
      <c r="AG28" s="6" t="n">
        <f aca="false">IF(AF28="","",ROUND(((AF28-AJ$15)/AJ$16)*AJ$18+AJ$17,1))</f>
        <v>21</v>
      </c>
      <c r="AH28" s="12"/>
      <c r="AM28" s="5" t="s">
        <v>79</v>
      </c>
      <c r="AN28" s="5" t="s">
        <v>103</v>
      </c>
      <c r="AO28" s="6" t="n">
        <f aca="false">IFERROR(ROUND(MAX(0,AVERAGE(AR28,AT28)),1),"")</f>
        <v>11.5</v>
      </c>
      <c r="AP28" s="7" t="n">
        <f aca="false">COUNT(AQ28,AS28)</f>
        <v>2</v>
      </c>
      <c r="AQ28" s="13" t="n">
        <v>9</v>
      </c>
      <c r="AR28" s="6" t="n">
        <f aca="false">IF(AQ28="","",ROUND(((AQ28-BC$7)/BC$8)*BC$12+BC$11,1))</f>
        <v>9.5</v>
      </c>
      <c r="AS28" s="13" t="n">
        <v>25</v>
      </c>
      <c r="AT28" s="6" t="n">
        <f aca="false">IF(AS28="","",ROUND(((AS28-BC$9)/BC$10)*BC$12+BC$11,1))</f>
        <v>13.5</v>
      </c>
      <c r="AU28" s="14"/>
      <c r="AV28" s="14"/>
      <c r="AW28" s="14"/>
      <c r="AX28" s="14"/>
      <c r="AY28" s="14"/>
      <c r="AZ28" s="14"/>
      <c r="BA28" s="12"/>
    </row>
    <row r="29" customFormat="false" ht="15" hidden="false" customHeight="true" outlineLevel="0" collapsed="false">
      <c r="A29" s="5" t="s">
        <v>79</v>
      </c>
      <c r="B29" s="5" t="s">
        <v>103</v>
      </c>
      <c r="C29" s="6" t="n">
        <f aca="false">IFERROR(ROUND(MAX(0,AVERAGE(F29,H29,J29,L29,N29)),1),"")</f>
        <v>22.7</v>
      </c>
      <c r="D29" s="7" t="n">
        <f aca="false">COUNT(E29,G29,I29,K29,M29)</f>
        <v>5</v>
      </c>
      <c r="E29" s="13" t="n">
        <v>26</v>
      </c>
      <c r="F29" s="6" t="n">
        <f aca="false">IF(E29="","",ROUND(((E29-Q$7)/Q$8)*Q$18+Q$17,1))</f>
        <v>22.9</v>
      </c>
      <c r="G29" s="13" t="n">
        <v>9</v>
      </c>
      <c r="H29" s="6" t="n">
        <f aca="false">IF(G29="","",ROUND(((G29-Q$9)/Q$10)*Q$18+Q$17,1))</f>
        <v>15</v>
      </c>
      <c r="I29" s="17" t="n">
        <v>26.7</v>
      </c>
      <c r="J29" s="6" t="n">
        <f aca="false">IF(I29="","",ROUND(((I29-Q$11)/Q$12)*Q$18+Q$17,1))</f>
        <v>23.8</v>
      </c>
      <c r="K29" s="13" t="n">
        <v>1093</v>
      </c>
      <c r="L29" s="6" t="n">
        <f aca="false">IF(K29="","",ROUND(((K29-Q$13)/Q$14)*Q$18+Q$17,1))</f>
        <v>25.7</v>
      </c>
      <c r="M29" s="13" t="n">
        <v>26</v>
      </c>
      <c r="N29" s="6" t="n">
        <f aca="false">IF(M29="","",ROUND(((M29-Q$15)/Q$16)*Q$18+Q$17,1))</f>
        <v>26</v>
      </c>
      <c r="O29" s="12"/>
      <c r="T29" s="5" t="s">
        <v>79</v>
      </c>
      <c r="U29" s="5" t="s">
        <v>103</v>
      </c>
      <c r="V29" s="6" t="n">
        <f aca="false">IFERROR(MIN(ROUND(MAX(0,AVERAGE(Y29,AA29,AC29,AE29,AG29)),1),22.7),"")</f>
        <v>22.1</v>
      </c>
      <c r="W29" s="7" t="n">
        <f aca="false">COUNT(X29,Z29,AB29,AD29,AF29)</f>
        <v>5</v>
      </c>
      <c r="X29" s="13" t="n">
        <v>24</v>
      </c>
      <c r="Y29" s="6" t="n">
        <f aca="false">IF(X29="","",ROUND(((X29-AJ$7)/AJ$8)*AJ$18+AJ$17,1))</f>
        <v>21.7</v>
      </c>
      <c r="Z29" s="13" t="n">
        <v>9</v>
      </c>
      <c r="AA29" s="6" t="n">
        <f aca="false">IF(Z29="","",ROUND(((Z29-AJ$9)/AJ$10)*AJ$18+AJ$17,1))</f>
        <v>15.3</v>
      </c>
      <c r="AB29" s="13" t="n">
        <v>25.7</v>
      </c>
      <c r="AC29" s="6" t="n">
        <f aca="false">IF(AB29="","",ROUND(((AB29-AJ$11)/AJ$12)*AJ$18+AJ$17,1))</f>
        <v>23.9</v>
      </c>
      <c r="AD29" s="17" t="n">
        <v>1051</v>
      </c>
      <c r="AE29" s="6" t="n">
        <f aca="false">IF(AD29="","",ROUND(((AD29-AJ$13)/AJ$14)*AJ$18+AJ$17,1))</f>
        <v>24.6</v>
      </c>
      <c r="AF29" s="13" t="n">
        <v>25</v>
      </c>
      <c r="AG29" s="6" t="n">
        <f aca="false">IF(AF29="","",ROUND(((AF29-AJ$15)/AJ$16)*AJ$18+AJ$17,1))</f>
        <v>25</v>
      </c>
      <c r="AH29" s="12"/>
      <c r="AM29" s="5" t="s">
        <v>79</v>
      </c>
      <c r="AN29" s="5" t="s">
        <v>104</v>
      </c>
      <c r="AO29" s="6" t="n">
        <f aca="false">IFERROR(ROUND(MAX(0,AVERAGE(AR29,AT29)),1),"")</f>
        <v>11.4</v>
      </c>
      <c r="AP29" s="7" t="n">
        <f aca="false">COUNT(AQ29,AS29)</f>
        <v>2</v>
      </c>
      <c r="AQ29" s="13" t="n">
        <v>8</v>
      </c>
      <c r="AR29" s="6" t="n">
        <f aca="false">IF(AQ29="","",ROUND(((AQ29-BC$7)/BC$8)*BC$12+BC$11,1))</f>
        <v>8.3</v>
      </c>
      <c r="AS29" s="13" t="n">
        <v>26</v>
      </c>
      <c r="AT29" s="6" t="n">
        <f aca="false">IF(AS29="","",ROUND(((AS29-BC$9)/BC$10)*BC$12+BC$11,1))</f>
        <v>14.4</v>
      </c>
      <c r="AU29" s="14"/>
      <c r="AV29" s="14"/>
      <c r="AW29" s="14"/>
      <c r="AX29" s="14"/>
      <c r="AY29" s="14"/>
      <c r="AZ29" s="14"/>
      <c r="BA29" s="12"/>
    </row>
    <row r="30" customFormat="false" ht="15" hidden="false" customHeight="true" outlineLevel="0" collapsed="false">
      <c r="A30" s="5" t="s">
        <v>79</v>
      </c>
      <c r="B30" s="5" t="s">
        <v>105</v>
      </c>
      <c r="C30" s="6" t="n">
        <f aca="false">IFERROR(ROUND(MAX(0,AVERAGE(F30,H30,J30,L30,N30)),1),"")</f>
        <v>20.5</v>
      </c>
      <c r="D30" s="7" t="n">
        <f aca="false">COUNT(E30,G30,I30,K30,M30)</f>
        <v>5</v>
      </c>
      <c r="E30" s="13" t="n">
        <v>27</v>
      </c>
      <c r="F30" s="6" t="n">
        <f aca="false">IF(E30="","",ROUND(((E30-Q$7)/Q$8)*Q$18+Q$17,1))</f>
        <v>23.8</v>
      </c>
      <c r="G30" s="13" t="n">
        <v>8</v>
      </c>
      <c r="H30" s="6" t="n">
        <f aca="false">IF(G30="","",ROUND(((G30-Q$9)/Q$10)*Q$18+Q$17,1))</f>
        <v>13.5</v>
      </c>
      <c r="I30" s="17" t="n">
        <v>19.1</v>
      </c>
      <c r="J30" s="6" t="n">
        <f aca="false">IF(I30="","",ROUND(((I30-Q$11)/Q$12)*Q$18+Q$17,1))</f>
        <v>15.6</v>
      </c>
      <c r="K30" s="13" t="n">
        <v>1081</v>
      </c>
      <c r="L30" s="6" t="n">
        <f aca="false">IF(K30="","",ROUND(((K30-Q$13)/Q$14)*Q$18+Q$17,1))</f>
        <v>25.5</v>
      </c>
      <c r="M30" s="13" t="n">
        <v>24</v>
      </c>
      <c r="N30" s="6" t="n">
        <f aca="false">IF(M30="","",ROUND(((M30-Q$15)/Q$16)*Q$18+Q$17,1))</f>
        <v>24</v>
      </c>
      <c r="O30" s="12"/>
      <c r="T30" s="5" t="s">
        <v>79</v>
      </c>
      <c r="U30" s="5" t="s">
        <v>105</v>
      </c>
      <c r="V30" s="6" t="n">
        <f aca="false">IFERROR(MIN(ROUND(MAX(0,AVERAGE(Y30,AA30,AC30,AE30,AG30)),1),20.4),"")</f>
        <v>20.4</v>
      </c>
      <c r="W30" s="7" t="n">
        <f aca="false">COUNT(X30,Z30,AB30,AD30,AF30)</f>
        <v>5</v>
      </c>
      <c r="X30" s="13" t="n">
        <v>25</v>
      </c>
      <c r="Y30" s="6" t="n">
        <f aca="false">IF(X30="","",ROUND(((X30-AJ$7)/AJ$8)*AJ$18+AJ$17,1))</f>
        <v>22.6</v>
      </c>
      <c r="Z30" s="13" t="n">
        <v>8</v>
      </c>
      <c r="AA30" s="6" t="n">
        <f aca="false">IF(Z30="","",ROUND(((Z30-AJ$9)/AJ$10)*AJ$18+AJ$17,1))</f>
        <v>13.9</v>
      </c>
      <c r="AB30" s="13" t="n">
        <v>19.1</v>
      </c>
      <c r="AC30" s="6" t="n">
        <f aca="false">IF(AB30="","",ROUND(((AB30-AJ$11)/AJ$12)*AJ$18+AJ$17,1))</f>
        <v>16.8</v>
      </c>
      <c r="AD30" s="17" t="n">
        <v>1081</v>
      </c>
      <c r="AE30" s="6" t="n">
        <f aca="false">IF(AD30="","",ROUND(((AD30-AJ$13)/AJ$14)*AJ$18+AJ$17,1))</f>
        <v>25.3</v>
      </c>
      <c r="AF30" s="13" t="n">
        <v>24</v>
      </c>
      <c r="AG30" s="6" t="n">
        <f aca="false">IF(AF30="","",ROUND(((AF30-AJ$15)/AJ$16)*AJ$18+AJ$17,1))</f>
        <v>24</v>
      </c>
      <c r="AH30" s="12"/>
      <c r="AM30" s="5" t="s">
        <v>79</v>
      </c>
      <c r="AN30" s="5" t="s">
        <v>105</v>
      </c>
      <c r="AO30" s="6" t="n">
        <f aca="false">IFERROR(ROUND(MAX(0,AVERAGE(AR30,AT30)),1),"")</f>
        <v>10.5</v>
      </c>
      <c r="AP30" s="7" t="n">
        <f aca="false">COUNT(AQ30,AS30)</f>
        <v>2</v>
      </c>
      <c r="AQ30" s="13" t="n">
        <v>8</v>
      </c>
      <c r="AR30" s="6" t="n">
        <f aca="false">IF(AQ30="","",ROUND(((AQ30-BC$7)/BC$8)*BC$12+BC$11,1))</f>
        <v>8.3</v>
      </c>
      <c r="AS30" s="13" t="n">
        <v>24</v>
      </c>
      <c r="AT30" s="6" t="n">
        <f aca="false">IF(AS30="","",ROUND(((AS30-BC$9)/BC$10)*BC$12+BC$11,1))</f>
        <v>12.6</v>
      </c>
      <c r="AU30" s="14"/>
      <c r="AV30" s="14"/>
      <c r="AW30" s="14"/>
      <c r="AX30" s="14"/>
      <c r="AY30" s="14"/>
      <c r="AZ30" s="14"/>
      <c r="BA30" s="12"/>
    </row>
    <row r="31" customFormat="false" ht="15" hidden="false" customHeight="true" outlineLevel="0" collapsed="false">
      <c r="A31" s="5" t="s">
        <v>79</v>
      </c>
      <c r="B31" s="5" t="s">
        <v>106</v>
      </c>
      <c r="C31" s="6" t="n">
        <f aca="false">IFERROR(ROUND(MAX(0,AVERAGE(F31,H31,J31,L31,N31)),1),"")</f>
        <v>19</v>
      </c>
      <c r="D31" s="7" t="n">
        <f aca="false">COUNT(E31,G31,I31,K31,M31)</f>
        <v>5</v>
      </c>
      <c r="E31" s="13" t="n">
        <v>22</v>
      </c>
      <c r="F31" s="6" t="n">
        <f aca="false">IF(E31="","",ROUND(((E31-Q$7)/Q$8)*Q$18+Q$17,1))</f>
        <v>19.5</v>
      </c>
      <c r="G31" s="13" t="n">
        <v>6</v>
      </c>
      <c r="H31" s="6" t="n">
        <f aca="false">IF(G31="","",ROUND(((G31-Q$9)/Q$10)*Q$18+Q$17,1))</f>
        <v>10.6</v>
      </c>
      <c r="I31" s="17" t="n">
        <v>26.8</v>
      </c>
      <c r="J31" s="6" t="n">
        <f aca="false">IF(I31="","",ROUND(((I31-Q$11)/Q$12)*Q$18+Q$17,1))</f>
        <v>24</v>
      </c>
      <c r="K31" s="13" t="n">
        <v>829</v>
      </c>
      <c r="L31" s="6" t="n">
        <f aca="false">IF(K31="","",ROUND(((K31-Q$13)/Q$14)*Q$18+Q$17,1))</f>
        <v>19.7</v>
      </c>
      <c r="M31" s="13" t="n">
        <v>21</v>
      </c>
      <c r="N31" s="6" t="n">
        <f aca="false">IF(M31="","",ROUND(((M31-Q$15)/Q$16)*Q$18+Q$17,1))</f>
        <v>21</v>
      </c>
      <c r="O31" s="12"/>
      <c r="T31" s="5" t="s">
        <v>79</v>
      </c>
      <c r="U31" s="5" t="s">
        <v>106</v>
      </c>
      <c r="V31" s="6" t="n">
        <f aca="false">IFERROR(MIN(ROUND(MAX(0,AVERAGE(Y31,AA31,AC31,AE31,AG31)),1),18.9),"")</f>
        <v>18.3</v>
      </c>
      <c r="W31" s="7" t="n">
        <f aca="false">COUNT(X31,Z31,AB31,AD31,AF31)</f>
        <v>5</v>
      </c>
      <c r="X31" s="13" t="n">
        <v>20</v>
      </c>
      <c r="Y31" s="6" t="n">
        <f aca="false">IF(X31="","",ROUND(((X31-AJ$7)/AJ$8)*AJ$18+AJ$17,1))</f>
        <v>18.4</v>
      </c>
      <c r="Z31" s="13" t="n">
        <v>6</v>
      </c>
      <c r="AA31" s="6" t="n">
        <f aca="false">IF(Z31="","",ROUND(((Z31-AJ$9)/AJ$10)*AJ$18+AJ$17,1))</f>
        <v>11</v>
      </c>
      <c r="AB31" s="13" t="n">
        <v>25.5</v>
      </c>
      <c r="AC31" s="6" t="n">
        <f aca="false">IF(AB31="","",ROUND(((AB31-AJ$11)/AJ$12)*AJ$18+AJ$17,1))</f>
        <v>23.7</v>
      </c>
      <c r="AD31" s="17" t="n">
        <v>789.5</v>
      </c>
      <c r="AE31" s="6" t="n">
        <f aca="false">IF(AD31="","",ROUND(((AD31-AJ$13)/AJ$14)*AJ$18+AJ$17,1))</f>
        <v>18.6</v>
      </c>
      <c r="AF31" s="13" t="n">
        <v>20</v>
      </c>
      <c r="AG31" s="6" t="n">
        <f aca="false">IF(AF31="","",ROUND(((AF31-AJ$15)/AJ$16)*AJ$18+AJ$17,1))</f>
        <v>20</v>
      </c>
      <c r="AH31" s="12"/>
      <c r="AM31" s="5" t="s">
        <v>79</v>
      </c>
      <c r="AN31" s="5" t="s">
        <v>107</v>
      </c>
      <c r="AO31" s="6" t="n">
        <f aca="false">IFERROR(ROUND(MAX(0,AVERAGE(AR31,AT31)),1),"")</f>
        <v>10</v>
      </c>
      <c r="AP31" s="7" t="n">
        <f aca="false">COUNT(AQ31,AS31)</f>
        <v>2</v>
      </c>
      <c r="AQ31" s="13" t="n">
        <v>10</v>
      </c>
      <c r="AR31" s="6" t="n">
        <f aca="false">IF(AQ31="","",ROUND(((AQ31-BC$7)/BC$8)*BC$12+BC$11,1))</f>
        <v>10.8</v>
      </c>
      <c r="AS31" s="13" t="n">
        <v>20</v>
      </c>
      <c r="AT31" s="6" t="n">
        <f aca="false">IF(AS31="","",ROUND(((AS31-BC$9)/BC$10)*BC$12+BC$11,1))</f>
        <v>9.1</v>
      </c>
      <c r="AU31" s="14"/>
      <c r="AV31" s="14"/>
      <c r="AW31" s="14"/>
      <c r="AX31" s="14"/>
      <c r="AY31" s="14"/>
      <c r="AZ31" s="14"/>
      <c r="BA31" s="12"/>
    </row>
    <row r="32" customFormat="false" ht="15" hidden="false" customHeight="true" outlineLevel="0" collapsed="false">
      <c r="A32" s="5" t="s">
        <v>79</v>
      </c>
      <c r="B32" s="5" t="s">
        <v>107</v>
      </c>
      <c r="C32" s="6" t="n">
        <f aca="false">IFERROR(ROUND(MAX(0,AVERAGE(F32,H32,J32,L32,N32)),1),"")</f>
        <v>18.1</v>
      </c>
      <c r="D32" s="7" t="n">
        <f aca="false">COUNT(E32,G32,I32,K32,M32)</f>
        <v>5</v>
      </c>
      <c r="E32" s="13" t="n">
        <v>19</v>
      </c>
      <c r="F32" s="6" t="n">
        <f aca="false">IF(E32="","",ROUND(((E32-Q$7)/Q$8)*Q$18+Q$17,1))</f>
        <v>17</v>
      </c>
      <c r="G32" s="13" t="n">
        <v>12</v>
      </c>
      <c r="H32" s="6" t="n">
        <f aca="false">IF(G32="","",ROUND(((G32-Q$9)/Q$10)*Q$18+Q$17,1))</f>
        <v>19.4</v>
      </c>
      <c r="I32" s="17" t="n">
        <v>18.1</v>
      </c>
      <c r="J32" s="6" t="n">
        <f aca="false">IF(I32="","",ROUND(((I32-Q$11)/Q$12)*Q$18+Q$17,1))</f>
        <v>14.5</v>
      </c>
      <c r="K32" s="13" t="n">
        <v>654</v>
      </c>
      <c r="L32" s="6" t="n">
        <f aca="false">IF(K32="","",ROUND(((K32-Q$13)/Q$14)*Q$18+Q$17,1))</f>
        <v>15.6</v>
      </c>
      <c r="M32" s="13" t="n">
        <v>24</v>
      </c>
      <c r="N32" s="6" t="n">
        <f aca="false">IF(M32="","",ROUND(((M32-Q$15)/Q$16)*Q$18+Q$17,1))</f>
        <v>24</v>
      </c>
      <c r="O32" s="12"/>
      <c r="T32" s="5" t="s">
        <v>79</v>
      </c>
      <c r="U32" s="5" t="s">
        <v>107</v>
      </c>
      <c r="V32" s="6" t="n">
        <f aca="false">IFERROR(MIN(ROUND(MAX(0,AVERAGE(Y32,AA32,AC32,AE32,AG32)),1),18.1),"")</f>
        <v>16.9</v>
      </c>
      <c r="W32" s="7" t="n">
        <f aca="false">COUNT(X32,Z32,AB32,AD32,AF32)</f>
        <v>5</v>
      </c>
      <c r="X32" s="13" t="n">
        <v>17</v>
      </c>
      <c r="Y32" s="6" t="n">
        <f aca="false">IF(X32="","",ROUND(((X32-AJ$7)/AJ$8)*AJ$18+AJ$17,1))</f>
        <v>15.8</v>
      </c>
      <c r="Z32" s="13" t="n">
        <v>11</v>
      </c>
      <c r="AA32" s="6" t="n">
        <f aca="false">IF(Z32="","",ROUND(((Z32-AJ$9)/AJ$10)*AJ$18+AJ$17,1))</f>
        <v>18.3</v>
      </c>
      <c r="AB32" s="13" t="n">
        <v>16.6</v>
      </c>
      <c r="AC32" s="6" t="n">
        <f aca="false">IF(AB32="","",ROUND(((AB32-AJ$11)/AJ$12)*AJ$18+AJ$17,1))</f>
        <v>14.1</v>
      </c>
      <c r="AD32" s="17" t="n">
        <v>599.5</v>
      </c>
      <c r="AE32" s="6" t="n">
        <f aca="false">IF(AD32="","",ROUND(((AD32-AJ$13)/AJ$14)*AJ$18+AJ$17,1))</f>
        <v>14.3</v>
      </c>
      <c r="AF32" s="13" t="n">
        <v>22</v>
      </c>
      <c r="AG32" s="6" t="n">
        <f aca="false">IF(AF32="","",ROUND(((AF32-AJ$15)/AJ$16)*AJ$18+AJ$17,1))</f>
        <v>22</v>
      </c>
      <c r="AH32" s="12"/>
      <c r="AM32" s="5" t="s">
        <v>79</v>
      </c>
      <c r="AN32" s="5" t="s">
        <v>102</v>
      </c>
      <c r="AO32" s="6" t="n">
        <f aca="false">IFERROR(ROUND(MAX(0,AVERAGE(AR32,AT32)),1),"")</f>
        <v>8.1</v>
      </c>
      <c r="AP32" s="7" t="n">
        <f aca="false">COUNT(AQ32,AS32)</f>
        <v>2</v>
      </c>
      <c r="AQ32" s="13" t="n">
        <v>7</v>
      </c>
      <c r="AR32" s="6" t="n">
        <f aca="false">IF(AQ32="","",ROUND(((AQ32-BC$7)/BC$8)*BC$12+BC$11,1))</f>
        <v>7</v>
      </c>
      <c r="AS32" s="13" t="n">
        <v>20</v>
      </c>
      <c r="AT32" s="6" t="n">
        <f aca="false">IF(AS32="","",ROUND(((AS32-BC$9)/BC$10)*BC$12+BC$11,1))</f>
        <v>9.1</v>
      </c>
      <c r="AU32" s="14"/>
      <c r="AV32" s="14"/>
      <c r="AW32" s="14"/>
      <c r="AX32" s="14"/>
      <c r="AY32" s="14"/>
      <c r="AZ32" s="14"/>
      <c r="BA32" s="12"/>
    </row>
    <row r="33" customFormat="false" ht="15" hidden="false" customHeight="true" outlineLevel="0" collapsed="false">
      <c r="A33" s="5" t="s">
        <v>79</v>
      </c>
      <c r="B33" s="5" t="s">
        <v>108</v>
      </c>
      <c r="C33" s="6" t="n">
        <f aca="false">IFERROR(ROUND(MAX(0,AVERAGE(F33,H33,J33,L33,N33)),1),"")</f>
        <v>18.1</v>
      </c>
      <c r="D33" s="7" t="n">
        <f aca="false">COUNT(E33,G33,I33,K33,M33)</f>
        <v>5</v>
      </c>
      <c r="E33" s="13" t="n">
        <v>22</v>
      </c>
      <c r="F33" s="6" t="n">
        <f aca="false">IF(E33="","",ROUND(((E33-Q$7)/Q$8)*Q$18+Q$17,1))</f>
        <v>19.5</v>
      </c>
      <c r="G33" s="13" t="n">
        <v>6</v>
      </c>
      <c r="H33" s="6" t="n">
        <f aca="false">IF(G33="","",ROUND(((G33-Q$9)/Q$10)*Q$18+Q$17,1))</f>
        <v>10.6</v>
      </c>
      <c r="I33" s="17" t="n">
        <v>25.8</v>
      </c>
      <c r="J33" s="6" t="n">
        <f aca="false">IF(I33="","",ROUND(((I33-Q$11)/Q$12)*Q$18+Q$17,1))</f>
        <v>22.9</v>
      </c>
      <c r="K33" s="13" t="n">
        <v>901</v>
      </c>
      <c r="L33" s="6" t="n">
        <f aca="false">IF(K33="","",ROUND(((K33-Q$13)/Q$14)*Q$18+Q$17,1))</f>
        <v>21.3</v>
      </c>
      <c r="M33" s="13" t="n">
        <v>16</v>
      </c>
      <c r="N33" s="6" t="n">
        <f aca="false">IF(M33="","",ROUND(((M33-Q$15)/Q$16)*Q$18+Q$17,1))</f>
        <v>16</v>
      </c>
      <c r="O33" s="12"/>
      <c r="T33" s="5" t="s">
        <v>79</v>
      </c>
      <c r="U33" s="5" t="s">
        <v>108</v>
      </c>
      <c r="V33" s="6" t="n">
        <f aca="false">IFERROR(MIN(ROUND(MAX(0,AVERAGE(Y33,AA33,AC33,AE33,AG33)),1),18),"")</f>
        <v>18</v>
      </c>
      <c r="W33" s="7" t="n">
        <f aca="false">COUNT(X33,Z33,AB33,AD33,AF33)</f>
        <v>5</v>
      </c>
      <c r="X33" s="13" t="n">
        <v>20</v>
      </c>
      <c r="Y33" s="6" t="n">
        <f aca="false">IF(X33="","",ROUND(((X33-AJ$7)/AJ$8)*AJ$18+AJ$17,1))</f>
        <v>18.4</v>
      </c>
      <c r="Z33" s="13" t="n">
        <v>6</v>
      </c>
      <c r="AA33" s="6" t="n">
        <f aca="false">IF(Z33="","",ROUND(((Z33-AJ$9)/AJ$10)*AJ$18+AJ$17,1))</f>
        <v>11</v>
      </c>
      <c r="AB33" s="13" t="n">
        <v>25.8</v>
      </c>
      <c r="AC33" s="6" t="n">
        <f aca="false">IF(AB33="","",ROUND(((AB33-AJ$11)/AJ$12)*AJ$18+AJ$17,1))</f>
        <v>24.1</v>
      </c>
      <c r="AD33" s="17" t="n">
        <v>901</v>
      </c>
      <c r="AE33" s="6" t="n">
        <f aca="false">IF(AD33="","",ROUND(((AD33-AJ$13)/AJ$14)*AJ$18+AJ$17,1))</f>
        <v>21.2</v>
      </c>
      <c r="AF33" s="13" t="n">
        <v>16</v>
      </c>
      <c r="AG33" s="6" t="n">
        <f aca="false">IF(AF33="","",ROUND(((AF33-AJ$15)/AJ$16)*AJ$18+AJ$17,1))</f>
        <v>16</v>
      </c>
      <c r="AH33" s="12"/>
      <c r="AM33" s="5" t="s">
        <v>79</v>
      </c>
      <c r="AN33" s="5" t="s">
        <v>109</v>
      </c>
      <c r="AO33" s="6" t="n">
        <f aca="false">IFERROR(ROUND(MAX(0,AVERAGE(AR33,AT33)),1),"")</f>
        <v>7.7</v>
      </c>
      <c r="AP33" s="7" t="n">
        <f aca="false">COUNT(AQ33,AS33)</f>
        <v>2</v>
      </c>
      <c r="AQ33" s="13" t="n">
        <v>5</v>
      </c>
      <c r="AR33" s="6" t="n">
        <f aca="false">IF(AQ33="","",ROUND(((AQ33-BC$7)/BC$8)*BC$12+BC$11,1))</f>
        <v>4.5</v>
      </c>
      <c r="AS33" s="13" t="n">
        <v>22</v>
      </c>
      <c r="AT33" s="6" t="n">
        <f aca="false">IF(AS33="","",ROUND(((AS33-BC$9)/BC$10)*BC$12+BC$11,1))</f>
        <v>10.8</v>
      </c>
      <c r="AU33" s="14"/>
      <c r="AV33" s="14"/>
      <c r="AW33" s="14"/>
      <c r="AX33" s="14"/>
      <c r="AY33" s="14"/>
      <c r="AZ33" s="14"/>
      <c r="BA33" s="12"/>
    </row>
    <row r="34" customFormat="false" ht="15" hidden="false" customHeight="true" outlineLevel="0" collapsed="false">
      <c r="A34" s="5" t="s">
        <v>79</v>
      </c>
      <c r="B34" s="5" t="s">
        <v>110</v>
      </c>
      <c r="C34" s="6" t="n">
        <f aca="false">IFERROR(ROUND(MAX(0,AVERAGE(F34,H34,J34,L34,N34)),1),"")</f>
        <v>17</v>
      </c>
      <c r="D34" s="7" t="n">
        <f aca="false">COUNT(E34,G34,I34,K34,M34)</f>
        <v>5</v>
      </c>
      <c r="E34" s="13" t="n">
        <v>17</v>
      </c>
      <c r="F34" s="6" t="n">
        <f aca="false">IF(E34="","",ROUND(((E34-Q$7)/Q$8)*Q$18+Q$17,1))</f>
        <v>15.3</v>
      </c>
      <c r="G34" s="13" t="n">
        <v>7</v>
      </c>
      <c r="H34" s="6" t="n">
        <f aca="false">IF(G34="","",ROUND(((G34-Q$9)/Q$10)*Q$18+Q$17,1))</f>
        <v>12.1</v>
      </c>
      <c r="I34" s="17" t="n">
        <v>22.7</v>
      </c>
      <c r="J34" s="6" t="n">
        <f aca="false">IF(I34="","",ROUND(((I34-Q$11)/Q$12)*Q$18+Q$17,1))</f>
        <v>19.5</v>
      </c>
      <c r="K34" s="13" t="n">
        <v>582</v>
      </c>
      <c r="L34" s="6" t="n">
        <f aca="false">IF(K34="","",ROUND(((K34-Q$13)/Q$14)*Q$18+Q$17,1))</f>
        <v>14</v>
      </c>
      <c r="M34" s="13" t="n">
        <v>24</v>
      </c>
      <c r="N34" s="6" t="n">
        <f aca="false">IF(M34="","",ROUND(((M34-Q$15)/Q$16)*Q$18+Q$17,1))</f>
        <v>24</v>
      </c>
      <c r="O34" s="12"/>
      <c r="T34" s="5" t="s">
        <v>79</v>
      </c>
      <c r="U34" s="5" t="s">
        <v>110</v>
      </c>
      <c r="V34" s="6" t="n">
        <f aca="false">IFERROR(MIN(ROUND(MAX(0,AVERAGE(Y34,AA34,AC34,AE34,AG34)),1),16.9),"")</f>
        <v>15.9</v>
      </c>
      <c r="W34" s="7" t="n">
        <f aca="false">COUNT(X34,Z34,AB34,AD34,AF34)</f>
        <v>5</v>
      </c>
      <c r="X34" s="13" t="n">
        <v>15</v>
      </c>
      <c r="Y34" s="6" t="n">
        <f aca="false">IF(X34="","",ROUND(((X34-AJ$7)/AJ$8)*AJ$18+AJ$17,1))</f>
        <v>14.2</v>
      </c>
      <c r="Z34" s="13" t="n">
        <v>6.5</v>
      </c>
      <c r="AA34" s="6" t="n">
        <f aca="false">IF(Z34="","",ROUND(((Z34-AJ$9)/AJ$10)*AJ$18+AJ$17,1))</f>
        <v>11.7</v>
      </c>
      <c r="AB34" s="13" t="n">
        <v>20.8</v>
      </c>
      <c r="AC34" s="6" t="n">
        <f aca="false">IF(AB34="","",ROUND(((AB34-AJ$11)/AJ$12)*AJ$18+AJ$17,1))</f>
        <v>18.6</v>
      </c>
      <c r="AD34" s="17" t="n">
        <v>533.5</v>
      </c>
      <c r="AE34" s="6" t="n">
        <f aca="false">IF(AD34="","",ROUND(((AD34-AJ$13)/AJ$14)*AJ$18+AJ$17,1))</f>
        <v>12.8</v>
      </c>
      <c r="AF34" s="13" t="n">
        <v>22</v>
      </c>
      <c r="AG34" s="6" t="n">
        <f aca="false">IF(AF34="","",ROUND(((AF34-AJ$15)/AJ$16)*AJ$18+AJ$17,1))</f>
        <v>22</v>
      </c>
      <c r="AH34" s="12"/>
      <c r="AM34" s="5" t="s">
        <v>79</v>
      </c>
      <c r="AN34" s="5" t="s">
        <v>110</v>
      </c>
      <c r="AO34" s="6" t="n">
        <f aca="false">IFERROR(ROUND(MAX(0,AVERAGE(AR34,AT34)),1),"")</f>
        <v>7.5</v>
      </c>
      <c r="AP34" s="7" t="n">
        <f aca="false">COUNT(AQ34,AS34)</f>
        <v>2</v>
      </c>
      <c r="AQ34" s="13" t="n">
        <v>6</v>
      </c>
      <c r="AR34" s="6" t="n">
        <f aca="false">IF(AQ34="","",ROUND(((AQ34-BC$7)/BC$8)*BC$12+BC$11,1))</f>
        <v>5.8</v>
      </c>
      <c r="AS34" s="13" t="n">
        <v>20</v>
      </c>
      <c r="AT34" s="6" t="n">
        <f aca="false">IF(AS34="","",ROUND(((AS34-BC$9)/BC$10)*BC$12+BC$11,1))</f>
        <v>9.1</v>
      </c>
      <c r="AU34" s="14"/>
      <c r="AV34" s="14"/>
      <c r="AW34" s="14"/>
      <c r="AX34" s="14"/>
      <c r="AY34" s="14"/>
      <c r="AZ34" s="14"/>
      <c r="BA34" s="12"/>
    </row>
    <row r="35" customFormat="false" ht="15" hidden="false" customHeight="true" outlineLevel="0" collapsed="false">
      <c r="A35" s="5" t="s">
        <v>79</v>
      </c>
      <c r="B35" s="5" t="s">
        <v>111</v>
      </c>
      <c r="C35" s="6" t="n">
        <f aca="false">IFERROR(ROUND(MAX(0,AVERAGE(F35,H35,J35,L35,N35)),1),"")</f>
        <v>16.6</v>
      </c>
      <c r="D35" s="7" t="n">
        <f aca="false">COUNT(E35,G35,I35,K35,M35)</f>
        <v>5</v>
      </c>
      <c r="E35" s="13" t="n">
        <v>20</v>
      </c>
      <c r="F35" s="6" t="n">
        <f aca="false">IF(E35="","",ROUND(((E35-Q$7)/Q$8)*Q$18+Q$17,1))</f>
        <v>17.8</v>
      </c>
      <c r="G35" s="13" t="n">
        <v>7</v>
      </c>
      <c r="H35" s="6" t="n">
        <f aca="false">IF(G35="","",ROUND(((G35-Q$9)/Q$10)*Q$18+Q$17,1))</f>
        <v>12.1</v>
      </c>
      <c r="I35" s="17" t="n">
        <v>25</v>
      </c>
      <c r="J35" s="6" t="n">
        <f aca="false">IF(I35="","",ROUND(((I35-Q$11)/Q$12)*Q$18+Q$17,1))</f>
        <v>22</v>
      </c>
      <c r="K35" s="13" t="n">
        <v>670</v>
      </c>
      <c r="L35" s="6" t="n">
        <f aca="false">IF(K35="","",ROUND(((K35-Q$13)/Q$14)*Q$18+Q$17,1))</f>
        <v>16</v>
      </c>
      <c r="M35" s="13" t="n">
        <v>15</v>
      </c>
      <c r="N35" s="6" t="n">
        <f aca="false">IF(M35="","",ROUND(((M35-Q$15)/Q$16)*Q$18+Q$17,1))</f>
        <v>15</v>
      </c>
      <c r="O35" s="12"/>
      <c r="T35" s="5" t="s">
        <v>79</v>
      </c>
      <c r="U35" s="5" t="s">
        <v>111</v>
      </c>
      <c r="V35" s="6" t="n">
        <f aca="false">IFERROR(MIN(ROUND(MAX(0,AVERAGE(Y35,AA35,AC35,AE35,AG35)),1),16.5),"")</f>
        <v>15.9</v>
      </c>
      <c r="W35" s="7" t="n">
        <f aca="false">COUNT(X35,Z35,AB35,AD35,AF35)</f>
        <v>5</v>
      </c>
      <c r="X35" s="13" t="n">
        <v>18</v>
      </c>
      <c r="Y35" s="6" t="n">
        <f aca="false">IF(X35="","",ROUND(((X35-AJ$7)/AJ$8)*AJ$18+AJ$17,1))</f>
        <v>16.7</v>
      </c>
      <c r="Z35" s="13" t="n">
        <v>7</v>
      </c>
      <c r="AA35" s="6" t="n">
        <f aca="false">IF(Z35="","",ROUND(((Z35-AJ$9)/AJ$10)*AJ$18+AJ$17,1))</f>
        <v>12.4</v>
      </c>
      <c r="AB35" s="13" t="n">
        <v>23.3</v>
      </c>
      <c r="AC35" s="6" t="n">
        <f aca="false">IF(AB35="","",ROUND(((AB35-AJ$11)/AJ$12)*AJ$18+AJ$17,1))</f>
        <v>21.3</v>
      </c>
      <c r="AD35" s="17" t="n">
        <v>625.3</v>
      </c>
      <c r="AE35" s="6" t="n">
        <f aca="false">IF(AD35="","",ROUND(((AD35-AJ$13)/AJ$14)*AJ$18+AJ$17,1))</f>
        <v>14.9</v>
      </c>
      <c r="AF35" s="13" t="n">
        <v>14</v>
      </c>
      <c r="AG35" s="6" t="n">
        <f aca="false">IF(AF35="","",ROUND(((AF35-AJ$15)/AJ$16)*AJ$18+AJ$17,1))</f>
        <v>14</v>
      </c>
      <c r="AH35" s="12"/>
      <c r="AM35" s="5" t="s">
        <v>79</v>
      </c>
      <c r="AN35" s="5" t="s">
        <v>106</v>
      </c>
      <c r="AO35" s="6" t="n">
        <f aca="false">IFERROR(ROUND(MAX(0,AVERAGE(AR35,AT35)),1),"")</f>
        <v>7.5</v>
      </c>
      <c r="AP35" s="7" t="n">
        <f aca="false">COUNT(AQ35,AS35)</f>
        <v>2</v>
      </c>
      <c r="AQ35" s="13" t="n">
        <v>6</v>
      </c>
      <c r="AR35" s="6" t="n">
        <f aca="false">IF(AQ35="","",ROUND(((AQ35-BC$7)/BC$8)*BC$12+BC$11,1))</f>
        <v>5.8</v>
      </c>
      <c r="AS35" s="13" t="n">
        <v>20</v>
      </c>
      <c r="AT35" s="6" t="n">
        <f aca="false">IF(AS35="","",ROUND(((AS35-BC$9)/BC$10)*BC$12+BC$11,1))</f>
        <v>9.1</v>
      </c>
      <c r="AU35" s="14"/>
      <c r="AV35" s="14"/>
      <c r="AW35" s="14"/>
      <c r="AX35" s="14"/>
      <c r="AY35" s="14"/>
      <c r="AZ35" s="14"/>
      <c r="BA35" s="12"/>
    </row>
    <row r="36" customFormat="false" ht="15" hidden="false" customHeight="true" outlineLevel="0" collapsed="false">
      <c r="A36" s="5" t="s">
        <v>79</v>
      </c>
      <c r="B36" s="5" t="s">
        <v>112</v>
      </c>
      <c r="C36" s="6" t="n">
        <f aca="false">IFERROR(ROUND(MAX(0,AVERAGE(F36,H36,J36,L36,N36)),1),"")</f>
        <v>16.3</v>
      </c>
      <c r="D36" s="7" t="n">
        <f aca="false">COUNT(E36,G36,I36,K36,M36)</f>
        <v>5</v>
      </c>
      <c r="E36" s="13" t="n">
        <v>20</v>
      </c>
      <c r="F36" s="6" t="n">
        <f aca="false">IF(E36="","",ROUND(((E36-Q$7)/Q$8)*Q$18+Q$17,1))</f>
        <v>17.8</v>
      </c>
      <c r="G36" s="13" t="n">
        <v>7</v>
      </c>
      <c r="H36" s="6" t="n">
        <f aca="false">IF(G36="","",ROUND(((G36-Q$9)/Q$10)*Q$18+Q$17,1))</f>
        <v>12.1</v>
      </c>
      <c r="I36" s="17" t="n">
        <v>18.9</v>
      </c>
      <c r="J36" s="6" t="n">
        <f aca="false">IF(I36="","",ROUND(((I36-Q$11)/Q$12)*Q$18+Q$17,1))</f>
        <v>15.4</v>
      </c>
      <c r="K36" s="13" t="n">
        <v>769</v>
      </c>
      <c r="L36" s="6" t="n">
        <f aca="false">IF(K36="","",ROUND(((K36-Q$13)/Q$14)*Q$18+Q$17,1))</f>
        <v>18.3</v>
      </c>
      <c r="M36" s="13" t="n">
        <v>18</v>
      </c>
      <c r="N36" s="6" t="n">
        <f aca="false">IF(M36="","",ROUND(((M36-Q$15)/Q$16)*Q$18+Q$17,1))</f>
        <v>18</v>
      </c>
      <c r="O36" s="12"/>
      <c r="T36" s="5" t="s">
        <v>79</v>
      </c>
      <c r="U36" s="5" t="s">
        <v>112</v>
      </c>
      <c r="V36" s="6" t="n">
        <f aca="false">IFERROR(MIN(ROUND(MAX(0,AVERAGE(Y36,AA36,AC36,AE36,AG36)),1),16.3),"")</f>
        <v>16.3</v>
      </c>
      <c r="W36" s="7" t="n">
        <f aca="false">COUNT(X36,Z36,AB36,AD36,AF36)</f>
        <v>5</v>
      </c>
      <c r="X36" s="13" t="n">
        <v>18</v>
      </c>
      <c r="Y36" s="6" t="n">
        <f aca="false">IF(X36="","",ROUND(((X36-AJ$7)/AJ$8)*AJ$18+AJ$17,1))</f>
        <v>16.7</v>
      </c>
      <c r="Z36" s="13" t="n">
        <v>7</v>
      </c>
      <c r="AA36" s="6" t="n">
        <f aca="false">IF(Z36="","",ROUND(((Z36-AJ$9)/AJ$10)*AJ$18+AJ$17,1))</f>
        <v>12.4</v>
      </c>
      <c r="AB36" s="13" t="n">
        <v>18.9</v>
      </c>
      <c r="AC36" s="6" t="n">
        <f aca="false">IF(AB36="","",ROUND(((AB36-AJ$11)/AJ$12)*AJ$18+AJ$17,1))</f>
        <v>16.6</v>
      </c>
      <c r="AD36" s="17" t="n">
        <v>769</v>
      </c>
      <c r="AE36" s="6" t="n">
        <f aca="false">IF(AD36="","",ROUND(((AD36-AJ$13)/AJ$14)*AJ$18+AJ$17,1))</f>
        <v>18.2</v>
      </c>
      <c r="AF36" s="13" t="n">
        <v>18</v>
      </c>
      <c r="AG36" s="6" t="n">
        <f aca="false">IF(AF36="","",ROUND(((AF36-AJ$15)/AJ$16)*AJ$18+AJ$17,1))</f>
        <v>18</v>
      </c>
      <c r="AH36" s="12"/>
      <c r="AM36" s="5" t="s">
        <v>79</v>
      </c>
      <c r="AN36" s="5" t="s">
        <v>112</v>
      </c>
      <c r="AO36" s="6" t="n">
        <f aca="false">IFERROR(ROUND(MAX(0,AVERAGE(AR36,AT36)),1),"")</f>
        <v>7.2</v>
      </c>
      <c r="AP36" s="7" t="n">
        <f aca="false">COUNT(AQ36,AS36)</f>
        <v>2</v>
      </c>
      <c r="AQ36" s="13" t="n">
        <v>7</v>
      </c>
      <c r="AR36" s="6" t="n">
        <f aca="false">IF(AQ36="","",ROUND(((AQ36-BC$7)/BC$8)*BC$12+BC$11,1))</f>
        <v>7</v>
      </c>
      <c r="AS36" s="13" t="n">
        <v>18</v>
      </c>
      <c r="AT36" s="6" t="n">
        <f aca="false">IF(AS36="","",ROUND(((AS36-BC$9)/BC$10)*BC$12+BC$11,1))</f>
        <v>7.3</v>
      </c>
      <c r="AU36" s="14"/>
      <c r="AV36" s="14"/>
      <c r="AW36" s="14"/>
      <c r="AX36" s="14"/>
      <c r="AY36" s="14"/>
      <c r="AZ36" s="14"/>
      <c r="BA36" s="12"/>
    </row>
    <row r="37" customFormat="false" ht="15" hidden="false" customHeight="true" outlineLevel="0" collapsed="false">
      <c r="A37" s="5" t="s">
        <v>79</v>
      </c>
      <c r="B37" s="5" t="s">
        <v>104</v>
      </c>
      <c r="C37" s="6" t="n">
        <f aca="false">IFERROR(ROUND(MAX(0,AVERAGE(F37,H37,J37,L37,N37)),1),"")</f>
        <v>15.6</v>
      </c>
      <c r="D37" s="7" t="n">
        <f aca="false">COUNT(E37,G37,I37,K37,M37)</f>
        <v>5</v>
      </c>
      <c r="E37" s="13" t="n">
        <v>16</v>
      </c>
      <c r="F37" s="6" t="n">
        <f aca="false">IF(E37="","",ROUND(((E37-Q$7)/Q$8)*Q$18+Q$17,1))</f>
        <v>14.4</v>
      </c>
      <c r="G37" s="13" t="n">
        <v>8</v>
      </c>
      <c r="H37" s="6" t="n">
        <f aca="false">IF(G37="","",ROUND(((G37-Q$9)/Q$10)*Q$18+Q$17,1))</f>
        <v>13.5</v>
      </c>
      <c r="I37" s="17" t="n">
        <v>12.1</v>
      </c>
      <c r="J37" s="6" t="n">
        <f aca="false">IF(I37="","",ROUND(((I37-Q$11)/Q$12)*Q$18+Q$17,1))</f>
        <v>8</v>
      </c>
      <c r="K37" s="13" t="n">
        <v>590</v>
      </c>
      <c r="L37" s="6" t="n">
        <f aca="false">IF(K37="","",ROUND(((K37-Q$13)/Q$14)*Q$18+Q$17,1))</f>
        <v>14.2</v>
      </c>
      <c r="M37" s="13" t="n">
        <v>28</v>
      </c>
      <c r="N37" s="6" t="n">
        <f aca="false">IF(M37="","",ROUND(((M37-Q$15)/Q$16)*Q$18+Q$17,1))</f>
        <v>28</v>
      </c>
      <c r="O37" s="12"/>
      <c r="T37" s="5" t="s">
        <v>79</v>
      </c>
      <c r="U37" s="5" t="s">
        <v>104</v>
      </c>
      <c r="V37" s="6" t="n">
        <f aca="false">IFERROR(MIN(ROUND(MAX(0,AVERAGE(Y37,AA37,AC37,AE37,AG37)),1),15.6),"")</f>
        <v>15.3</v>
      </c>
      <c r="W37" s="7" t="n">
        <f aca="false">COUNT(X37,Z37,AB37,AD37,AF37)</f>
        <v>5</v>
      </c>
      <c r="X37" s="13" t="n">
        <v>14</v>
      </c>
      <c r="Y37" s="6" t="n">
        <f aca="false">IF(X37="","",ROUND(((X37-AJ$7)/AJ$8)*AJ$18+AJ$17,1))</f>
        <v>13.3</v>
      </c>
      <c r="Z37" s="13" t="n">
        <v>8</v>
      </c>
      <c r="AA37" s="6" t="n">
        <f aca="false">IF(Z37="","",ROUND(((Z37-AJ$9)/AJ$10)*AJ$18+AJ$17,1))</f>
        <v>13.9</v>
      </c>
      <c r="AB37" s="13" t="n">
        <v>11.7</v>
      </c>
      <c r="AC37" s="6" t="n">
        <f aca="false">IF(AB37="","",ROUND(((AB37-AJ$11)/AJ$12)*AJ$18+AJ$17,1))</f>
        <v>8.7</v>
      </c>
      <c r="AD37" s="17" t="n">
        <v>568.9</v>
      </c>
      <c r="AE37" s="6" t="n">
        <f aca="false">IF(AD37="","",ROUND(((AD37-AJ$13)/AJ$14)*AJ$18+AJ$17,1))</f>
        <v>13.6</v>
      </c>
      <c r="AF37" s="13" t="n">
        <v>27</v>
      </c>
      <c r="AG37" s="6" t="n">
        <f aca="false">IF(AF37="","",ROUND(((AF37-AJ$15)/AJ$16)*AJ$18+AJ$17,1))</f>
        <v>27</v>
      </c>
      <c r="AH37" s="12"/>
      <c r="AM37" s="5" t="s">
        <v>79</v>
      </c>
      <c r="AN37" s="5" t="s">
        <v>113</v>
      </c>
      <c r="AO37" s="6" t="n">
        <f aca="false">IFERROR(ROUND(MAX(0,AVERAGE(AR37,AT37)),1),"")</f>
        <v>6.7</v>
      </c>
      <c r="AP37" s="7" t="n">
        <f aca="false">COUNT(AQ37,AS37)</f>
        <v>2</v>
      </c>
      <c r="AQ37" s="13" t="n">
        <v>7</v>
      </c>
      <c r="AR37" s="6" t="n">
        <f aca="false">IF(AQ37="","",ROUND(((AQ37-BC$7)/BC$8)*BC$12+BC$11,1))</f>
        <v>7</v>
      </c>
      <c r="AS37" s="13" t="n">
        <v>17</v>
      </c>
      <c r="AT37" s="6" t="n">
        <f aca="false">IF(AS37="","",ROUND(((AS37-BC$9)/BC$10)*BC$12+BC$11,1))</f>
        <v>6.4</v>
      </c>
      <c r="AU37" s="14"/>
      <c r="AV37" s="14"/>
      <c r="AW37" s="14"/>
      <c r="AX37" s="14"/>
      <c r="AY37" s="14"/>
      <c r="AZ37" s="14"/>
      <c r="BA37" s="12"/>
    </row>
    <row r="38" customFormat="false" ht="15" hidden="false" customHeight="true" outlineLevel="0" collapsed="false">
      <c r="A38" s="5" t="s">
        <v>79</v>
      </c>
      <c r="B38" s="5" t="s">
        <v>114</v>
      </c>
      <c r="C38" s="6" t="n">
        <f aca="false">IFERROR(ROUND(MAX(0,AVERAGE(F38,H38,J38,L38,N38)),1),"")</f>
        <v>15.6</v>
      </c>
      <c r="D38" s="7" t="n">
        <f aca="false">COUNT(E38,G38,I38,K38,M38)</f>
        <v>5</v>
      </c>
      <c r="E38" s="13" t="n">
        <v>15</v>
      </c>
      <c r="F38" s="6" t="n">
        <f aca="false">IF(E38="","",ROUND(((E38-Q$7)/Q$8)*Q$18+Q$17,1))</f>
        <v>13.6</v>
      </c>
      <c r="G38" s="13" t="n">
        <v>6</v>
      </c>
      <c r="H38" s="6" t="n">
        <f aca="false">IF(G38="","",ROUND(((G38-Q$9)/Q$10)*Q$18+Q$17,1))</f>
        <v>10.6</v>
      </c>
      <c r="I38" s="17" t="n">
        <v>24.4</v>
      </c>
      <c r="J38" s="6" t="n">
        <f aca="false">IF(I38="","",ROUND(((I38-Q$11)/Q$12)*Q$18+Q$17,1))</f>
        <v>21.4</v>
      </c>
      <c r="K38" s="13" t="n">
        <v>606</v>
      </c>
      <c r="L38" s="6" t="n">
        <f aca="false">IF(K38="","",ROUND(((K38-Q$13)/Q$14)*Q$18+Q$17,1))</f>
        <v>14.5</v>
      </c>
      <c r="M38" s="13" t="n">
        <v>18</v>
      </c>
      <c r="N38" s="6" t="n">
        <f aca="false">IF(M38="","",ROUND(((M38-Q$15)/Q$16)*Q$18+Q$17,1))</f>
        <v>18</v>
      </c>
      <c r="O38" s="12"/>
      <c r="T38" s="5" t="s">
        <v>79</v>
      </c>
      <c r="U38" s="5" t="s">
        <v>114</v>
      </c>
      <c r="V38" s="6" t="n">
        <f aca="false">IFERROR(MIN(ROUND(MAX(0,AVERAGE(Y38,AA38,AC38,AE38,AG38)),1),15.6),"")</f>
        <v>15</v>
      </c>
      <c r="W38" s="7" t="n">
        <f aca="false">COUNT(X38,Z38,AB38,AD38,AF38)</f>
        <v>5</v>
      </c>
      <c r="X38" s="13" t="n">
        <v>13</v>
      </c>
      <c r="Y38" s="6" t="n">
        <f aca="false">IF(X38="","",ROUND(((X38-AJ$7)/AJ$8)*AJ$18+AJ$17,1))</f>
        <v>12.5</v>
      </c>
      <c r="Z38" s="13" t="n">
        <v>6</v>
      </c>
      <c r="AA38" s="6" t="n">
        <f aca="false">IF(Z38="","",ROUND(((Z38-AJ$9)/AJ$10)*AJ$18+AJ$17,1))</f>
        <v>11</v>
      </c>
      <c r="AB38" s="13" t="n">
        <v>23</v>
      </c>
      <c r="AC38" s="6" t="n">
        <f aca="false">IF(AB38="","",ROUND(((AB38-AJ$11)/AJ$12)*AJ$18+AJ$17,1))</f>
        <v>21</v>
      </c>
      <c r="AD38" s="17" t="n">
        <v>572.3</v>
      </c>
      <c r="AE38" s="6" t="n">
        <f aca="false">IF(AD38="","",ROUND(((AD38-AJ$13)/AJ$14)*AJ$18+AJ$17,1))</f>
        <v>13.7</v>
      </c>
      <c r="AF38" s="13" t="n">
        <v>17</v>
      </c>
      <c r="AG38" s="6" t="n">
        <f aca="false">IF(AF38="","",ROUND(((AF38-AJ$15)/AJ$16)*AJ$18+AJ$17,1))</f>
        <v>17</v>
      </c>
      <c r="AH38" s="12"/>
      <c r="AM38" s="5" t="s">
        <v>79</v>
      </c>
      <c r="AN38" s="5" t="s">
        <v>114</v>
      </c>
      <c r="AO38" s="6" t="n">
        <f aca="false">IFERROR(ROUND(MAX(0,AVERAGE(AR38,AT38)),1),"")</f>
        <v>6.1</v>
      </c>
      <c r="AP38" s="7" t="n">
        <f aca="false">COUNT(AQ38,AS38)</f>
        <v>2</v>
      </c>
      <c r="AQ38" s="13" t="n">
        <v>6</v>
      </c>
      <c r="AR38" s="6" t="n">
        <f aca="false">IF(AQ38="","",ROUND(((AQ38-BC$7)/BC$8)*BC$12+BC$11,1))</f>
        <v>5.8</v>
      </c>
      <c r="AS38" s="13" t="n">
        <v>17</v>
      </c>
      <c r="AT38" s="6" t="n">
        <f aca="false">IF(AS38="","",ROUND(((AS38-BC$9)/BC$10)*BC$12+BC$11,1))</f>
        <v>6.4</v>
      </c>
      <c r="AU38" s="14"/>
      <c r="AV38" s="14"/>
      <c r="AW38" s="14"/>
      <c r="AX38" s="14"/>
      <c r="AY38" s="14"/>
      <c r="AZ38" s="14"/>
      <c r="BA38" s="12"/>
    </row>
    <row r="39" customFormat="false" ht="15" hidden="false" customHeight="true" outlineLevel="0" collapsed="false">
      <c r="A39" s="5" t="s">
        <v>79</v>
      </c>
      <c r="B39" s="5" t="s">
        <v>109</v>
      </c>
      <c r="C39" s="6" t="n">
        <f aca="false">IFERROR(ROUND(MAX(0,AVERAGE(F39,H39,J39,L39,N39)),1),"")</f>
        <v>15.4</v>
      </c>
      <c r="D39" s="7" t="n">
        <f aca="false">COUNT(E39,G39,I39,K39,M39)</f>
        <v>5</v>
      </c>
      <c r="E39" s="13" t="n">
        <v>17</v>
      </c>
      <c r="F39" s="6" t="n">
        <f aca="false">IF(E39="","",ROUND(((E39-Q$7)/Q$8)*Q$18+Q$17,1))</f>
        <v>15.3</v>
      </c>
      <c r="G39" s="13" t="n">
        <v>5</v>
      </c>
      <c r="H39" s="6" t="n">
        <f aca="false">IF(G39="","",ROUND(((G39-Q$9)/Q$10)*Q$18+Q$17,1))</f>
        <v>9.1</v>
      </c>
      <c r="I39" s="17" t="n">
        <v>15.4</v>
      </c>
      <c r="J39" s="6" t="n">
        <f aca="false">IF(I39="","",ROUND(((I39-Q$11)/Q$12)*Q$18+Q$17,1))</f>
        <v>11.6</v>
      </c>
      <c r="K39" s="13" t="n">
        <v>805</v>
      </c>
      <c r="L39" s="6" t="n">
        <f aca="false">IF(K39="","",ROUND(((K39-Q$13)/Q$14)*Q$18+Q$17,1))</f>
        <v>19.1</v>
      </c>
      <c r="M39" s="13" t="n">
        <v>22</v>
      </c>
      <c r="N39" s="6" t="n">
        <f aca="false">IF(M39="","",ROUND(((M39-Q$15)/Q$16)*Q$18+Q$17,1))</f>
        <v>22</v>
      </c>
      <c r="O39" s="12"/>
      <c r="T39" s="5" t="s">
        <v>79</v>
      </c>
      <c r="U39" s="5" t="s">
        <v>109</v>
      </c>
      <c r="V39" s="6" t="n">
        <f aca="false">IFERROR(MIN(ROUND(MAX(0,AVERAGE(Y39,AA39,AC39,AE39,AG39)),1),15.4),"")</f>
        <v>15.4</v>
      </c>
      <c r="W39" s="7" t="n">
        <f aca="false">COUNT(X39,Z39,AB39,AD39,AF39)</f>
        <v>5</v>
      </c>
      <c r="X39" s="13" t="n">
        <v>15</v>
      </c>
      <c r="Y39" s="6" t="n">
        <f aca="false">IF(X39="","",ROUND(((X39-AJ$7)/AJ$8)*AJ$18+AJ$17,1))</f>
        <v>14.2</v>
      </c>
      <c r="Z39" s="13" t="n">
        <v>5</v>
      </c>
      <c r="AA39" s="6" t="n">
        <f aca="false">IF(Z39="","",ROUND(((Z39-AJ$9)/AJ$10)*AJ$18+AJ$17,1))</f>
        <v>9.5</v>
      </c>
      <c r="AB39" s="13" t="n">
        <v>15.4</v>
      </c>
      <c r="AC39" s="6" t="n">
        <f aca="false">IF(AB39="","",ROUND(((AB39-AJ$11)/AJ$12)*AJ$18+AJ$17,1))</f>
        <v>12.8</v>
      </c>
      <c r="AD39" s="17" t="n">
        <v>805</v>
      </c>
      <c r="AE39" s="6" t="n">
        <f aca="false">IF(AD39="","",ROUND(((AD39-AJ$13)/AJ$14)*AJ$18+AJ$17,1))</f>
        <v>19</v>
      </c>
      <c r="AF39" s="13" t="n">
        <v>22</v>
      </c>
      <c r="AG39" s="6" t="n">
        <f aca="false">IF(AF39="","",ROUND(((AF39-AJ$15)/AJ$16)*AJ$18+AJ$17,1))</f>
        <v>22</v>
      </c>
      <c r="AH39" s="12"/>
      <c r="AM39" s="5" t="s">
        <v>79</v>
      </c>
      <c r="AN39" s="5" t="s">
        <v>108</v>
      </c>
      <c r="AO39" s="6" t="n">
        <f aca="false">IFERROR(ROUND(MAX(0,AVERAGE(AR39,AT39)),1),"")</f>
        <v>5.7</v>
      </c>
      <c r="AP39" s="7" t="n">
        <f aca="false">COUNT(AQ39,AS39)</f>
        <v>2</v>
      </c>
      <c r="AQ39" s="13" t="n">
        <v>6</v>
      </c>
      <c r="AR39" s="6" t="n">
        <f aca="false">IF(AQ39="","",ROUND(((AQ39-BC$7)/BC$8)*BC$12+BC$11,1))</f>
        <v>5.8</v>
      </c>
      <c r="AS39" s="13" t="n">
        <v>16</v>
      </c>
      <c r="AT39" s="6" t="n">
        <f aca="false">IF(AS39="","",ROUND(((AS39-BC$9)/BC$10)*BC$12+BC$11,1))</f>
        <v>5.5</v>
      </c>
      <c r="AU39" s="14"/>
      <c r="AV39" s="14"/>
      <c r="AW39" s="14"/>
      <c r="AX39" s="14"/>
      <c r="AY39" s="14"/>
      <c r="AZ39" s="14"/>
      <c r="BA39" s="12"/>
    </row>
    <row r="40" customFormat="false" ht="15" hidden="false" customHeight="true" outlineLevel="0" collapsed="false">
      <c r="A40" s="5" t="s">
        <v>79</v>
      </c>
      <c r="B40" s="5" t="s">
        <v>115</v>
      </c>
      <c r="C40" s="6" t="n">
        <f aca="false">IFERROR(ROUND(MAX(0,AVERAGE(F40,H40,J40,L40,N40)),1),"")</f>
        <v>15.4</v>
      </c>
      <c r="D40" s="7" t="n">
        <f aca="false">COUNT(E40,G40,I40,K40,M40)</f>
        <v>5</v>
      </c>
      <c r="E40" s="13" t="n">
        <v>16</v>
      </c>
      <c r="F40" s="6" t="n">
        <f aca="false">IF(E40="","",ROUND(((E40-Q$7)/Q$8)*Q$18+Q$17,1))</f>
        <v>14.4</v>
      </c>
      <c r="G40" s="13" t="n">
        <v>6</v>
      </c>
      <c r="H40" s="6" t="n">
        <f aca="false">IF(G40="","",ROUND(((G40-Q$9)/Q$10)*Q$18+Q$17,1))</f>
        <v>10.6</v>
      </c>
      <c r="I40" s="17" t="n">
        <v>26.4</v>
      </c>
      <c r="J40" s="6" t="n">
        <f aca="false">IF(I40="","",ROUND(((I40-Q$11)/Q$12)*Q$18+Q$17,1))</f>
        <v>23.5</v>
      </c>
      <c r="K40" s="13" t="n">
        <v>598</v>
      </c>
      <c r="L40" s="6" t="n">
        <f aca="false">IF(K40="","",ROUND(((K40-Q$13)/Q$14)*Q$18+Q$17,1))</f>
        <v>14.3</v>
      </c>
      <c r="M40" s="13" t="n">
        <v>14</v>
      </c>
      <c r="N40" s="6" t="n">
        <f aca="false">IF(M40="","",ROUND(((M40-Q$15)/Q$16)*Q$18+Q$17,1))</f>
        <v>14</v>
      </c>
      <c r="O40" s="12"/>
      <c r="T40" s="5" t="s">
        <v>79</v>
      </c>
      <c r="U40" s="5" t="s">
        <v>115</v>
      </c>
      <c r="V40" s="6" t="n">
        <f aca="false">IFERROR(MIN(ROUND(MAX(0,AVERAGE(Y40,AA40,AC40,AE40,AG40)),1),15.3),"")</f>
        <v>14.6</v>
      </c>
      <c r="W40" s="7" t="n">
        <f aca="false">COUNT(X40,Z40,AB40,AD40,AF40)</f>
        <v>5</v>
      </c>
      <c r="X40" s="13" t="n">
        <v>14</v>
      </c>
      <c r="Y40" s="6" t="n">
        <f aca="false">IF(X40="","",ROUND(((X40-AJ$7)/AJ$8)*AJ$18+AJ$17,1))</f>
        <v>13.3</v>
      </c>
      <c r="Z40" s="13" t="n">
        <v>5.5</v>
      </c>
      <c r="AA40" s="6" t="n">
        <f aca="false">IF(Z40="","",ROUND(((Z40-AJ$9)/AJ$10)*AJ$18+AJ$17,1))</f>
        <v>10.2</v>
      </c>
      <c r="AB40" s="13" t="n">
        <v>24.2</v>
      </c>
      <c r="AC40" s="6" t="n">
        <f aca="false">IF(AB40="","",ROUND(((AB40-AJ$11)/AJ$12)*AJ$18+AJ$17,1))</f>
        <v>22.3</v>
      </c>
      <c r="AD40" s="17" t="n">
        <v>548.2</v>
      </c>
      <c r="AE40" s="6" t="n">
        <f aca="false">IF(AD40="","",ROUND(((AD40-AJ$13)/AJ$14)*AJ$18+AJ$17,1))</f>
        <v>13.1</v>
      </c>
      <c r="AF40" s="13" t="n">
        <v>14</v>
      </c>
      <c r="AG40" s="6" t="n">
        <f aca="false">IF(AF40="","",ROUND(((AF40-AJ$15)/AJ$16)*AJ$18+AJ$17,1))</f>
        <v>14</v>
      </c>
      <c r="AH40" s="12"/>
      <c r="AM40" s="5" t="s">
        <v>79</v>
      </c>
      <c r="AN40" s="5" t="s">
        <v>116</v>
      </c>
      <c r="AO40" s="6" t="n">
        <f aca="false">IFERROR(ROUND(MAX(0,AVERAGE(AR40,AT40)),1),"")</f>
        <v>5.4</v>
      </c>
      <c r="AP40" s="7" t="n">
        <f aca="false">COUNT(AQ40,AS40)</f>
        <v>2</v>
      </c>
      <c r="AQ40" s="13" t="n">
        <v>7</v>
      </c>
      <c r="AR40" s="6" t="n">
        <f aca="false">IF(AQ40="","",ROUND(((AQ40-BC$7)/BC$8)*BC$12+BC$11,1))</f>
        <v>7</v>
      </c>
      <c r="AS40" s="13" t="n">
        <v>14</v>
      </c>
      <c r="AT40" s="6" t="n">
        <f aca="false">IF(AS40="","",ROUND(((AS40-BC$9)/BC$10)*BC$12+BC$11,1))</f>
        <v>3.8</v>
      </c>
      <c r="AU40" s="14"/>
      <c r="AV40" s="14"/>
      <c r="AW40" s="14"/>
      <c r="AX40" s="14"/>
      <c r="AY40" s="14"/>
      <c r="AZ40" s="14"/>
      <c r="BA40" s="12"/>
    </row>
    <row r="41" customFormat="false" ht="15" hidden="false" customHeight="true" outlineLevel="0" collapsed="false">
      <c r="A41" s="5" t="s">
        <v>79</v>
      </c>
      <c r="B41" s="5" t="s">
        <v>117</v>
      </c>
      <c r="C41" s="6" t="n">
        <f aca="false">IFERROR(ROUND(MAX(0,AVERAGE(F41,H41,J41,L41,N41)),1),"")</f>
        <v>15.3</v>
      </c>
      <c r="D41" s="7" t="n">
        <f aca="false">COUNT(E41,G41,I41,K41,M41)</f>
        <v>4</v>
      </c>
      <c r="E41" s="13" t="n">
        <v>16</v>
      </c>
      <c r="F41" s="6" t="n">
        <f aca="false">IF(E41="","",ROUND(((E41-Q$7)/Q$8)*Q$18+Q$17,1))</f>
        <v>14.4</v>
      </c>
      <c r="G41" s="13" t="n">
        <v>7</v>
      </c>
      <c r="H41" s="6" t="n">
        <f aca="false">IF(G41="","",ROUND(((G41-Q$9)/Q$10)*Q$18+Q$17,1))</f>
        <v>12.1</v>
      </c>
      <c r="I41" s="13"/>
      <c r="J41" s="6" t="str">
        <f aca="false">IF(I41="","",ROUND(((I41-Q$11)/Q$12)*Q$18+Q$17,1))</f>
        <v/>
      </c>
      <c r="K41" s="13" t="n">
        <v>961</v>
      </c>
      <c r="L41" s="6" t="n">
        <f aca="false">IF(K41="","",ROUND(((K41-Q$13)/Q$14)*Q$18+Q$17,1))</f>
        <v>22.7</v>
      </c>
      <c r="M41" s="13" t="n">
        <v>12</v>
      </c>
      <c r="N41" s="6" t="n">
        <f aca="false">IF(M41="","",ROUND(((M41-Q$15)/Q$16)*Q$18+Q$17,1))</f>
        <v>12</v>
      </c>
      <c r="O41" s="12"/>
      <c r="T41" s="5" t="s">
        <v>79</v>
      </c>
      <c r="U41" s="5" t="s">
        <v>117</v>
      </c>
      <c r="V41" s="6" t="n">
        <f aca="false">IFERROR(MIN(ROUND(MAX(0,AVERAGE(Y41,AA41,AC41,AE41,AG41)),1),15.2),"")</f>
        <v>11</v>
      </c>
      <c r="W41" s="7" t="n">
        <f aca="false">COUNT(X41,Z41,AB41,AD41,AF41)</f>
        <v>4</v>
      </c>
      <c r="X41" s="13" t="n">
        <v>14</v>
      </c>
      <c r="Y41" s="6" t="n">
        <f aca="false">IF(X41="","",ROUND(((X41-AJ$7)/AJ$8)*AJ$18+AJ$17,1))</f>
        <v>13.3</v>
      </c>
      <c r="Z41" s="13" t="n">
        <v>7</v>
      </c>
      <c r="AA41" s="6" t="n">
        <f aca="false">IF(Z41="","",ROUND(((Z41-AJ$9)/AJ$10)*AJ$18+AJ$17,1))</f>
        <v>12.4</v>
      </c>
      <c r="AB41" s="13" t="n">
        <v>8.4</v>
      </c>
      <c r="AC41" s="6" t="n">
        <f aca="false">IF(AB41="","",ROUND(((AB41-AJ$11)/AJ$12)*AJ$18+AJ$17,1))</f>
        <v>5.2</v>
      </c>
      <c r="AD41" s="13"/>
      <c r="AE41" s="6" t="str">
        <f aca="false">IF(AD41="","",ROUND(((AD41-AJ$13)/AJ$14)*AJ$18+AJ$17,1))</f>
        <v/>
      </c>
      <c r="AF41" s="13" t="n">
        <v>13</v>
      </c>
      <c r="AG41" s="6" t="n">
        <f aca="false">IF(AF41="","",ROUND(((AF41-AJ$15)/AJ$16)*AJ$18+AJ$17,1))</f>
        <v>13</v>
      </c>
      <c r="AH41" s="12"/>
      <c r="AM41" s="5" t="s">
        <v>79</v>
      </c>
      <c r="AN41" s="5" t="s">
        <v>111</v>
      </c>
      <c r="AO41" s="6" t="n">
        <f aca="false">IFERROR(ROUND(MAX(0,AVERAGE(AR41,AT41)),1),"")</f>
        <v>5.4</v>
      </c>
      <c r="AP41" s="7" t="n">
        <f aca="false">COUNT(AQ41,AS41)</f>
        <v>2</v>
      </c>
      <c r="AQ41" s="13" t="n">
        <v>7</v>
      </c>
      <c r="AR41" s="6" t="n">
        <f aca="false">IF(AQ41="","",ROUND(((AQ41-BC$7)/BC$8)*BC$12+BC$11,1))</f>
        <v>7</v>
      </c>
      <c r="AS41" s="13" t="n">
        <v>14</v>
      </c>
      <c r="AT41" s="6" t="n">
        <f aca="false">IF(AS41="","",ROUND(((AS41-BC$9)/BC$10)*BC$12+BC$11,1))</f>
        <v>3.8</v>
      </c>
      <c r="AU41" s="14"/>
      <c r="AV41" s="14"/>
      <c r="AW41" s="14"/>
      <c r="AX41" s="14"/>
      <c r="AY41" s="14"/>
      <c r="AZ41" s="14"/>
      <c r="BA41" s="12"/>
    </row>
    <row r="42" customFormat="false" ht="15" hidden="false" customHeight="true" outlineLevel="0" collapsed="false">
      <c r="A42" s="5" t="s">
        <v>79</v>
      </c>
      <c r="B42" s="5" t="s">
        <v>118</v>
      </c>
      <c r="C42" s="6" t="n">
        <f aca="false">IFERROR(ROUND(MAX(0,AVERAGE(F42,H42,J42,L42,N42)),1),"")</f>
        <v>14.9</v>
      </c>
      <c r="D42" s="7" t="n">
        <f aca="false">COUNT(E42,G42,I42,K42,M42)</f>
        <v>5</v>
      </c>
      <c r="E42" s="13" t="n">
        <v>15</v>
      </c>
      <c r="F42" s="6" t="n">
        <f aca="false">IF(E42="","",ROUND(((E42-Q$7)/Q$8)*Q$18+Q$17,1))</f>
        <v>13.6</v>
      </c>
      <c r="G42" s="13" t="n">
        <v>5</v>
      </c>
      <c r="H42" s="6" t="n">
        <f aca="false">IF(G42="","",ROUND(((G42-Q$9)/Q$10)*Q$18+Q$17,1))</f>
        <v>9.1</v>
      </c>
      <c r="I42" s="17" t="n">
        <v>24.9</v>
      </c>
      <c r="J42" s="6" t="n">
        <f aca="false">IF(I42="","",ROUND(((I42-Q$11)/Q$12)*Q$18+Q$17,1))</f>
        <v>21.9</v>
      </c>
      <c r="K42" s="13" t="n">
        <v>662</v>
      </c>
      <c r="L42" s="6" t="n">
        <f aca="false">IF(K42="","",ROUND(((K42-Q$13)/Q$14)*Q$18+Q$17,1))</f>
        <v>15.8</v>
      </c>
      <c r="M42" s="13" t="n">
        <v>14</v>
      </c>
      <c r="N42" s="6" t="n">
        <f aca="false">IF(M42="","",ROUND(((M42-Q$15)/Q$16)*Q$18+Q$17,1))</f>
        <v>14</v>
      </c>
      <c r="O42" s="12"/>
      <c r="T42" s="5" t="s">
        <v>79</v>
      </c>
      <c r="U42" s="5" t="s">
        <v>118</v>
      </c>
      <c r="V42" s="6" t="n">
        <f aca="false">IFERROR(MIN(ROUND(MAX(0,AVERAGE(Y42,AA42,AC42,AE42,AG42)),1),14.8),"")</f>
        <v>14.8</v>
      </c>
      <c r="W42" s="7" t="n">
        <f aca="false">COUNT(X42,Z42,AB42,AD42,AF42)</f>
        <v>5</v>
      </c>
      <c r="X42" s="13" t="n">
        <v>13</v>
      </c>
      <c r="Y42" s="6" t="n">
        <f aca="false">IF(X42="","",ROUND(((X42-AJ$7)/AJ$8)*AJ$18+AJ$17,1))</f>
        <v>12.5</v>
      </c>
      <c r="Z42" s="13" t="n">
        <v>5</v>
      </c>
      <c r="AA42" s="6" t="n">
        <f aca="false">IF(Z42="","",ROUND(((Z42-AJ$9)/AJ$10)*AJ$18+AJ$17,1))</f>
        <v>9.5</v>
      </c>
      <c r="AB42" s="13" t="n">
        <v>24.9</v>
      </c>
      <c r="AC42" s="6" t="n">
        <f aca="false">IF(AB42="","",ROUND(((AB42-AJ$11)/AJ$12)*AJ$18+AJ$17,1))</f>
        <v>23.1</v>
      </c>
      <c r="AD42" s="17" t="n">
        <v>662</v>
      </c>
      <c r="AE42" s="6" t="n">
        <f aca="false">IF(AD42="","",ROUND(((AD42-AJ$13)/AJ$14)*AJ$18+AJ$17,1))</f>
        <v>15.7</v>
      </c>
      <c r="AF42" s="13" t="n">
        <v>14</v>
      </c>
      <c r="AG42" s="6" t="n">
        <f aca="false">IF(AF42="","",ROUND(((AF42-AJ$15)/AJ$16)*AJ$18+AJ$17,1))</f>
        <v>14</v>
      </c>
      <c r="AH42" s="12"/>
      <c r="AM42" s="5" t="s">
        <v>79</v>
      </c>
      <c r="AN42" s="5" t="s">
        <v>117</v>
      </c>
      <c r="AO42" s="6" t="n">
        <f aca="false">IFERROR(ROUND(MAX(0,AVERAGE(AR42,AT42)),1),"")</f>
        <v>5</v>
      </c>
      <c r="AP42" s="7" t="n">
        <f aca="false">COUNT(AQ42,AS42)</f>
        <v>2</v>
      </c>
      <c r="AQ42" s="13" t="n">
        <v>7</v>
      </c>
      <c r="AR42" s="6" t="n">
        <f aca="false">IF(AQ42="","",ROUND(((AQ42-BC$7)/BC$8)*BC$12+BC$11,1))</f>
        <v>7</v>
      </c>
      <c r="AS42" s="13" t="n">
        <v>13</v>
      </c>
      <c r="AT42" s="6" t="n">
        <f aca="false">IF(AS42="","",ROUND(((AS42-BC$9)/BC$10)*BC$12+BC$11,1))</f>
        <v>2.9</v>
      </c>
      <c r="AU42" s="14"/>
      <c r="AV42" s="14"/>
      <c r="AW42" s="14"/>
      <c r="AX42" s="14"/>
      <c r="AY42" s="14"/>
      <c r="AZ42" s="14"/>
      <c r="BA42" s="12"/>
    </row>
    <row r="43" customFormat="false" ht="15" hidden="false" customHeight="true" outlineLevel="0" collapsed="false">
      <c r="A43" s="5" t="s">
        <v>79</v>
      </c>
      <c r="B43" s="5" t="s">
        <v>113</v>
      </c>
      <c r="C43" s="6" t="n">
        <f aca="false">IFERROR(ROUND(MAX(0,AVERAGE(F43,H43,J43,L43,N43)),1),"")</f>
        <v>14.9</v>
      </c>
      <c r="D43" s="7" t="n">
        <f aca="false">COUNT(E43,G43,I43,K43,M43)</f>
        <v>5</v>
      </c>
      <c r="E43" s="13" t="n">
        <v>17</v>
      </c>
      <c r="F43" s="6" t="n">
        <f aca="false">IF(E43="","",ROUND(((E43-Q$7)/Q$8)*Q$18+Q$17,1))</f>
        <v>15.3</v>
      </c>
      <c r="G43" s="13" t="n">
        <v>7</v>
      </c>
      <c r="H43" s="6" t="n">
        <f aca="false">IF(G43="","",ROUND(((G43-Q$9)/Q$10)*Q$18+Q$17,1))</f>
        <v>12.1</v>
      </c>
      <c r="I43" s="17" t="n">
        <v>17.8</v>
      </c>
      <c r="J43" s="6" t="n">
        <f aca="false">IF(I43="","",ROUND(((I43-Q$11)/Q$12)*Q$18+Q$17,1))</f>
        <v>14.2</v>
      </c>
      <c r="K43" s="13" t="n">
        <v>574</v>
      </c>
      <c r="L43" s="6" t="n">
        <f aca="false">IF(K43="","",ROUND(((K43-Q$13)/Q$14)*Q$18+Q$17,1))</f>
        <v>13.8</v>
      </c>
      <c r="M43" s="13" t="n">
        <v>19</v>
      </c>
      <c r="N43" s="6" t="n">
        <f aca="false">IF(M43="","",ROUND(((M43-Q$15)/Q$16)*Q$18+Q$17,1))</f>
        <v>19</v>
      </c>
      <c r="O43" s="12"/>
      <c r="T43" s="5" t="s">
        <v>79</v>
      </c>
      <c r="U43" s="5" t="s">
        <v>113</v>
      </c>
      <c r="V43" s="6" t="n">
        <f aca="false">IFERROR(MIN(ROUND(MAX(0,AVERAGE(Y43,AA43,AC43,AE43,AG43)),1),14.8),"")</f>
        <v>14.4</v>
      </c>
      <c r="W43" s="7" t="n">
        <f aca="false">COUNT(X43,Z43,AB43,AD43,AF43)</f>
        <v>5</v>
      </c>
      <c r="X43" s="13" t="n">
        <v>15</v>
      </c>
      <c r="Y43" s="6" t="n">
        <f aca="false">IF(X43="","",ROUND(((X43-AJ$7)/AJ$8)*AJ$18+AJ$17,1))</f>
        <v>14.2</v>
      </c>
      <c r="Z43" s="13" t="n">
        <v>7</v>
      </c>
      <c r="AA43" s="6" t="n">
        <f aca="false">IF(Z43="","",ROUND(((Z43-AJ$9)/AJ$10)*AJ$18+AJ$17,1))</f>
        <v>12.4</v>
      </c>
      <c r="AB43" s="13" t="n">
        <v>16.9</v>
      </c>
      <c r="AC43" s="6" t="n">
        <f aca="false">IF(AB43="","",ROUND(((AB43-AJ$11)/AJ$12)*AJ$18+AJ$17,1))</f>
        <v>14.4</v>
      </c>
      <c r="AD43" s="17" t="n">
        <v>543.8</v>
      </c>
      <c r="AE43" s="6" t="n">
        <f aca="false">IF(AD43="","",ROUND(((AD43-AJ$13)/AJ$14)*AJ$18+AJ$17,1))</f>
        <v>13</v>
      </c>
      <c r="AF43" s="13" t="n">
        <v>18</v>
      </c>
      <c r="AG43" s="6" t="n">
        <f aca="false">IF(AF43="","",ROUND(((AF43-AJ$15)/AJ$16)*AJ$18+AJ$17,1))</f>
        <v>18</v>
      </c>
      <c r="AH43" s="12"/>
      <c r="AM43" s="5" t="s">
        <v>79</v>
      </c>
      <c r="AN43" s="5" t="s">
        <v>118</v>
      </c>
      <c r="AO43" s="6" t="n">
        <f aca="false">IFERROR(ROUND(MAX(0,AVERAGE(AR43,AT43)),1),"")</f>
        <v>4.2</v>
      </c>
      <c r="AP43" s="7" t="n">
        <f aca="false">COUNT(AQ43,AS43)</f>
        <v>2</v>
      </c>
      <c r="AQ43" s="13" t="n">
        <v>5</v>
      </c>
      <c r="AR43" s="6" t="n">
        <f aca="false">IF(AQ43="","",ROUND(((AQ43-BC$7)/BC$8)*BC$12+BC$11,1))</f>
        <v>4.5</v>
      </c>
      <c r="AS43" s="13" t="n">
        <v>14</v>
      </c>
      <c r="AT43" s="6" t="n">
        <f aca="false">IF(AS43="","",ROUND(((AS43-BC$9)/BC$10)*BC$12+BC$11,1))</f>
        <v>3.8</v>
      </c>
      <c r="AU43" s="14"/>
      <c r="AV43" s="14"/>
      <c r="AW43" s="14"/>
      <c r="AX43" s="14"/>
      <c r="AY43" s="14"/>
      <c r="AZ43" s="14"/>
      <c r="BA43" s="12"/>
    </row>
    <row r="44" customFormat="false" ht="15" hidden="false" customHeight="true" outlineLevel="0" collapsed="false">
      <c r="A44" s="5" t="s">
        <v>79</v>
      </c>
      <c r="B44" s="5" t="s">
        <v>116</v>
      </c>
      <c r="C44" s="6" t="n">
        <f aca="false">IFERROR(ROUND(MAX(0,AVERAGE(F44,H44,J44,L44,N44)),1),"")</f>
        <v>14.6</v>
      </c>
      <c r="D44" s="7" t="n">
        <f aca="false">COUNT(E44,G44,I44,K44,M44)</f>
        <v>5</v>
      </c>
      <c r="E44" s="13" t="n">
        <v>17</v>
      </c>
      <c r="F44" s="6" t="n">
        <f aca="false">IF(E44="","",ROUND(((E44-Q$7)/Q$8)*Q$18+Q$17,1))</f>
        <v>15.3</v>
      </c>
      <c r="G44" s="13" t="n">
        <v>7</v>
      </c>
      <c r="H44" s="6" t="n">
        <f aca="false">IF(G44="","",ROUND(((G44-Q$9)/Q$10)*Q$18+Q$17,1))</f>
        <v>12.1</v>
      </c>
      <c r="I44" s="17" t="n">
        <v>15.9</v>
      </c>
      <c r="J44" s="6" t="n">
        <f aca="false">IF(I44="","",ROUND(((I44-Q$11)/Q$12)*Q$18+Q$17,1))</f>
        <v>12.2</v>
      </c>
      <c r="K44" s="13" t="n">
        <v>817</v>
      </c>
      <c r="L44" s="6" t="n">
        <f aca="false">IF(K44="","",ROUND(((K44-Q$13)/Q$14)*Q$18+Q$17,1))</f>
        <v>19.4</v>
      </c>
      <c r="M44" s="13" t="n">
        <v>14</v>
      </c>
      <c r="N44" s="6" t="n">
        <f aca="false">IF(M44="","",ROUND(((M44-Q$15)/Q$16)*Q$18+Q$17,1))</f>
        <v>14</v>
      </c>
      <c r="O44" s="12"/>
      <c r="T44" s="5" t="s">
        <v>79</v>
      </c>
      <c r="U44" s="5" t="s">
        <v>116</v>
      </c>
      <c r="V44" s="6" t="n">
        <f aca="false">IFERROR(MIN(ROUND(MAX(0,AVERAGE(Y44,AA44,AC44,AE44,AG44)),1),14.5),"")</f>
        <v>14.5</v>
      </c>
      <c r="W44" s="7" t="n">
        <f aca="false">COUNT(X44,Z44,AB44,AD44,AF44)</f>
        <v>5</v>
      </c>
      <c r="X44" s="13" t="n">
        <v>15</v>
      </c>
      <c r="Y44" s="6" t="n">
        <f aca="false">IF(X44="","",ROUND(((X44-AJ$7)/AJ$8)*AJ$18+AJ$17,1))</f>
        <v>14.2</v>
      </c>
      <c r="Z44" s="13" t="n">
        <v>7</v>
      </c>
      <c r="AA44" s="6" t="n">
        <f aca="false">IF(Z44="","",ROUND(((Z44-AJ$9)/AJ$10)*AJ$18+AJ$17,1))</f>
        <v>12.4</v>
      </c>
      <c r="AB44" s="13" t="n">
        <v>15.9</v>
      </c>
      <c r="AC44" s="6" t="n">
        <f aca="false">IF(AB44="","",ROUND(((AB44-AJ$11)/AJ$12)*AJ$18+AJ$17,1))</f>
        <v>13.3</v>
      </c>
      <c r="AD44" s="17" t="n">
        <v>817</v>
      </c>
      <c r="AE44" s="6" t="n">
        <f aca="false">IF(AD44="","",ROUND(((AD44-AJ$13)/AJ$14)*AJ$18+AJ$17,1))</f>
        <v>19.3</v>
      </c>
      <c r="AF44" s="13" t="n">
        <v>14</v>
      </c>
      <c r="AG44" s="6" t="n">
        <f aca="false">IF(AF44="","",ROUND(((AF44-AJ$15)/AJ$16)*AJ$18+AJ$17,1))</f>
        <v>14</v>
      </c>
      <c r="AH44" s="12"/>
      <c r="AM44" s="5" t="s">
        <v>79</v>
      </c>
      <c r="AN44" s="5" t="s">
        <v>119</v>
      </c>
      <c r="AO44" s="6" t="n">
        <f aca="false">IFERROR(ROUND(MAX(0,AVERAGE(AR44,AT44)),1),"")</f>
        <v>4.2</v>
      </c>
      <c r="AP44" s="7" t="n">
        <f aca="false">COUNT(AQ44,AS44)</f>
        <v>2</v>
      </c>
      <c r="AQ44" s="13" t="n">
        <v>5</v>
      </c>
      <c r="AR44" s="6" t="n">
        <f aca="false">IF(AQ44="","",ROUND(((AQ44-BC$7)/BC$8)*BC$12+BC$11,1))</f>
        <v>4.5</v>
      </c>
      <c r="AS44" s="13" t="n">
        <v>14</v>
      </c>
      <c r="AT44" s="6" t="n">
        <f aca="false">IF(AS44="","",ROUND(((AS44-BC$9)/BC$10)*BC$12+BC$11,1))</f>
        <v>3.8</v>
      </c>
      <c r="AU44" s="14"/>
      <c r="AV44" s="14"/>
      <c r="AW44" s="14"/>
      <c r="AX44" s="14"/>
      <c r="AY44" s="14"/>
      <c r="AZ44" s="14"/>
      <c r="BA44" s="12"/>
    </row>
    <row r="45" customFormat="false" ht="15" hidden="false" customHeight="true" outlineLevel="0" collapsed="false">
      <c r="A45" s="5" t="s">
        <v>79</v>
      </c>
      <c r="B45" s="5" t="s">
        <v>120</v>
      </c>
      <c r="C45" s="6" t="n">
        <f aca="false">IFERROR(ROUND(MAX(0,AVERAGE(F45,H45,J45,L45,N45)),1),"")</f>
        <v>14.4</v>
      </c>
      <c r="D45" s="7" t="n">
        <f aca="false">COUNT(E45,G45,I45,K45,M45)</f>
        <v>5</v>
      </c>
      <c r="E45" s="13" t="n">
        <v>16</v>
      </c>
      <c r="F45" s="6" t="n">
        <f aca="false">IF(E45="","",ROUND(((E45-Q$7)/Q$8)*Q$18+Q$17,1))</f>
        <v>14.4</v>
      </c>
      <c r="G45" s="13" t="n">
        <v>7</v>
      </c>
      <c r="H45" s="6" t="n">
        <f aca="false">IF(G45="","",ROUND(((G45-Q$9)/Q$10)*Q$18+Q$17,1))</f>
        <v>12.1</v>
      </c>
      <c r="I45" s="17" t="n">
        <v>20.5</v>
      </c>
      <c r="J45" s="6" t="n">
        <f aca="false">IF(I45="","",ROUND(((I45-Q$11)/Q$12)*Q$18+Q$17,1))</f>
        <v>17.1</v>
      </c>
      <c r="K45" s="13" t="n">
        <v>678</v>
      </c>
      <c r="L45" s="6" t="n">
        <f aca="false">IF(K45="","",ROUND(((K45-Q$13)/Q$14)*Q$18+Q$17,1))</f>
        <v>16.2</v>
      </c>
      <c r="M45" s="13" t="n">
        <v>12</v>
      </c>
      <c r="N45" s="6" t="n">
        <f aca="false">IF(M45="","",ROUND(((M45-Q$15)/Q$16)*Q$18+Q$17,1))</f>
        <v>12</v>
      </c>
      <c r="O45" s="12"/>
      <c r="T45" s="5" t="s">
        <v>79</v>
      </c>
      <c r="U45" s="5" t="s">
        <v>120</v>
      </c>
      <c r="V45" s="6" t="n">
        <f aca="false">IFERROR(MIN(ROUND(MAX(0,AVERAGE(Y45,AA45,AC45,AE45,AG45)),1),14.3),"")</f>
        <v>12.5</v>
      </c>
      <c r="W45" s="7" t="n">
        <f aca="false">COUNT(X45,Z45,AB45,AD45,AF45)</f>
        <v>5</v>
      </c>
      <c r="X45" s="13" t="n">
        <v>14</v>
      </c>
      <c r="Y45" s="6" t="n">
        <f aca="false">IF(X45="","",ROUND(((X45-AJ$7)/AJ$8)*AJ$18+AJ$17,1))</f>
        <v>13.3</v>
      </c>
      <c r="Z45" s="13" t="n">
        <v>6</v>
      </c>
      <c r="AA45" s="6" t="n">
        <f aca="false">IF(Z45="","",ROUND(((Z45-AJ$9)/AJ$10)*AJ$18+AJ$17,1))</f>
        <v>11</v>
      </c>
      <c r="AB45" s="13" t="n">
        <v>17.6</v>
      </c>
      <c r="AC45" s="6" t="n">
        <f aca="false">IF(AB45="","",ROUND(((AB45-AJ$11)/AJ$12)*AJ$18+AJ$17,1))</f>
        <v>15.1</v>
      </c>
      <c r="AD45" s="17" t="n">
        <v>581.1</v>
      </c>
      <c r="AE45" s="6" t="n">
        <f aca="false">IF(AD45="","",ROUND(((AD45-AJ$13)/AJ$14)*AJ$18+AJ$17,1))</f>
        <v>13.9</v>
      </c>
      <c r="AF45" s="13" t="n">
        <v>9</v>
      </c>
      <c r="AG45" s="6" t="n">
        <f aca="false">IF(AF45="","",ROUND(((AF45-AJ$15)/AJ$16)*AJ$18+AJ$17,1))</f>
        <v>9</v>
      </c>
      <c r="AH45" s="12"/>
      <c r="AM45" s="5" t="s">
        <v>79</v>
      </c>
      <c r="AN45" s="5" t="s">
        <v>121</v>
      </c>
      <c r="AO45" s="6" t="n">
        <f aca="false">IFERROR(ROUND(MAX(0,AVERAGE(AR45,AT45)),1),"")</f>
        <v>3.9</v>
      </c>
      <c r="AP45" s="7" t="n">
        <f aca="false">COUNT(AQ45,AS45)</f>
        <v>2</v>
      </c>
      <c r="AQ45" s="13" t="n">
        <v>6</v>
      </c>
      <c r="AR45" s="6" t="n">
        <f aca="false">IF(AQ45="","",ROUND(((AQ45-BC$7)/BC$8)*BC$12+BC$11,1))</f>
        <v>5.8</v>
      </c>
      <c r="AS45" s="13" t="n">
        <v>12</v>
      </c>
      <c r="AT45" s="6" t="n">
        <f aca="false">IF(AS45="","",ROUND(((AS45-BC$9)/BC$10)*BC$12+BC$11,1))</f>
        <v>2</v>
      </c>
      <c r="AU45" s="14"/>
      <c r="AV45" s="14"/>
      <c r="AW45" s="14"/>
      <c r="AX45" s="14"/>
      <c r="AY45" s="14"/>
      <c r="AZ45" s="14"/>
      <c r="BA45" s="12"/>
    </row>
    <row r="46" customFormat="false" ht="15" hidden="false" customHeight="true" outlineLevel="0" collapsed="false">
      <c r="A46" s="5" t="s">
        <v>79</v>
      </c>
      <c r="B46" s="5" t="s">
        <v>122</v>
      </c>
      <c r="C46" s="6" t="n">
        <f aca="false">IFERROR(ROUND(MAX(0,AVERAGE(F46,H46,J46,L46,N46)),1),"")</f>
        <v>11.4</v>
      </c>
      <c r="D46" s="7" t="n">
        <f aca="false">COUNT(E46,G46,I46,K46,M46)</f>
        <v>5</v>
      </c>
      <c r="E46" s="13" t="n">
        <v>13</v>
      </c>
      <c r="F46" s="6" t="n">
        <f aca="false">IF(E46="","",ROUND(((E46-Q$7)/Q$8)*Q$18+Q$17,1))</f>
        <v>11.9</v>
      </c>
      <c r="G46" s="13" t="n">
        <v>6</v>
      </c>
      <c r="H46" s="6" t="n">
        <f aca="false">IF(G46="","",ROUND(((G46-Q$9)/Q$10)*Q$18+Q$17,1))</f>
        <v>10.6</v>
      </c>
      <c r="I46" s="17" t="n">
        <v>16.7</v>
      </c>
      <c r="J46" s="6" t="n">
        <f aca="false">IF(I46="","",ROUND(((I46-Q$11)/Q$12)*Q$18+Q$17,1))</f>
        <v>13</v>
      </c>
      <c r="K46" s="13" t="n">
        <v>379</v>
      </c>
      <c r="L46" s="6" t="n">
        <f aca="false">IF(K46="","",ROUND(((K46-Q$13)/Q$14)*Q$18+Q$17,1))</f>
        <v>9.3</v>
      </c>
      <c r="M46" s="13" t="n">
        <v>12</v>
      </c>
      <c r="N46" s="6" t="n">
        <f aca="false">IF(M46="","",ROUND(((M46-Q$15)/Q$16)*Q$18+Q$17,1))</f>
        <v>12</v>
      </c>
      <c r="O46" s="12"/>
      <c r="T46" s="5" t="s">
        <v>79</v>
      </c>
      <c r="U46" s="5" t="s">
        <v>122</v>
      </c>
      <c r="V46" s="6" t="n">
        <f aca="false">IFERROR(MIN(ROUND(MAX(0,AVERAGE(Y46,AA46,AC46,AE46,AG46)),1),11.3),"")</f>
        <v>10.8</v>
      </c>
      <c r="W46" s="7" t="n">
        <f aca="false">COUNT(X46,Z46,AB46,AD46,AF46)</f>
        <v>5</v>
      </c>
      <c r="X46" s="13" t="n">
        <v>12</v>
      </c>
      <c r="Y46" s="6" t="n">
        <f aca="false">IF(X46="","",ROUND(((X46-AJ$7)/AJ$8)*AJ$18+AJ$17,1))</f>
        <v>11.6</v>
      </c>
      <c r="Z46" s="13" t="n">
        <v>5.5</v>
      </c>
      <c r="AA46" s="6" t="n">
        <f aca="false">IF(Z46="","",ROUND(((Z46-AJ$9)/AJ$10)*AJ$18+AJ$17,1))</f>
        <v>10.2</v>
      </c>
      <c r="AB46" s="13" t="n">
        <v>15.3</v>
      </c>
      <c r="AC46" s="6" t="n">
        <f aca="false">IF(AB46="","",ROUND(((AB46-AJ$11)/AJ$12)*AJ$18+AJ$17,1))</f>
        <v>12.7</v>
      </c>
      <c r="AD46" s="17" t="n">
        <v>347.4</v>
      </c>
      <c r="AE46" s="6" t="n">
        <f aca="false">IF(AD46="","",ROUND(((AD46-AJ$13)/AJ$14)*AJ$18+AJ$17,1))</f>
        <v>8.6</v>
      </c>
      <c r="AF46" s="13" t="n">
        <v>11</v>
      </c>
      <c r="AG46" s="6" t="n">
        <f aca="false">IF(AF46="","",ROUND(((AF46-AJ$15)/AJ$16)*AJ$18+AJ$17,1))</f>
        <v>11</v>
      </c>
      <c r="AH46" s="12"/>
      <c r="AM46" s="5" t="s">
        <v>79</v>
      </c>
      <c r="AN46" s="5" t="s">
        <v>115</v>
      </c>
      <c r="AO46" s="6" t="n">
        <f aca="false">IFERROR(ROUND(MAX(0,AVERAGE(AR46,AT46)),1),"")</f>
        <v>3.7</v>
      </c>
      <c r="AP46" s="7" t="n">
        <f aca="false">COUNT(AQ46,AS46)</f>
        <v>2</v>
      </c>
      <c r="AQ46" s="13" t="n">
        <v>5</v>
      </c>
      <c r="AR46" s="6" t="n">
        <f aca="false">IF(AQ46="","",ROUND(((AQ46-BC$7)/BC$8)*BC$12+BC$11,1))</f>
        <v>4.5</v>
      </c>
      <c r="AS46" s="13" t="n">
        <v>13</v>
      </c>
      <c r="AT46" s="6" t="n">
        <f aca="false">IF(AS46="","",ROUND(((AS46-BC$9)/BC$10)*BC$12+BC$11,1))</f>
        <v>2.9</v>
      </c>
      <c r="AU46" s="14"/>
      <c r="AV46" s="14"/>
      <c r="AW46" s="14"/>
      <c r="AX46" s="14"/>
      <c r="AY46" s="14"/>
      <c r="AZ46" s="14"/>
      <c r="BA46" s="12"/>
    </row>
    <row r="47" customFormat="false" ht="15" hidden="false" customHeight="true" outlineLevel="0" collapsed="false">
      <c r="A47" s="5" t="s">
        <v>79</v>
      </c>
      <c r="B47" s="5" t="s">
        <v>123</v>
      </c>
      <c r="C47" s="6" t="n">
        <f aca="false">IFERROR(ROUND(MAX(0,AVERAGE(F47,H47,J47,L47,N47)),1),"")</f>
        <v>11.3</v>
      </c>
      <c r="D47" s="7" t="n">
        <f aca="false">COUNT(E47,G47,I47,K47,M47)</f>
        <v>4</v>
      </c>
      <c r="E47" s="13" t="n">
        <v>13</v>
      </c>
      <c r="F47" s="6" t="n">
        <f aca="false">IF(E47="","",ROUND(((E47-Q$7)/Q$8)*Q$18+Q$17,1))</f>
        <v>11.9</v>
      </c>
      <c r="G47" s="13"/>
      <c r="H47" s="6" t="str">
        <f aca="false">IF(G47="","",ROUND(((G47-Q$9)/Q$10)*Q$18+Q$17,1))</f>
        <v/>
      </c>
      <c r="I47" s="17" t="n">
        <v>16.1</v>
      </c>
      <c r="J47" s="6" t="n">
        <f aca="false">IF(I47="","",ROUND(((I47-Q$11)/Q$12)*Q$18+Q$17,1))</f>
        <v>12.4</v>
      </c>
      <c r="K47" s="13" t="n">
        <v>534</v>
      </c>
      <c r="L47" s="6" t="n">
        <f aca="false">IF(K47="","",ROUND(((K47-Q$13)/Q$14)*Q$18+Q$17,1))</f>
        <v>12.9</v>
      </c>
      <c r="M47" s="13" t="n">
        <v>8</v>
      </c>
      <c r="N47" s="6" t="n">
        <f aca="false">IF(M47="","",ROUND(((M47-Q$15)/Q$16)*Q$18+Q$17,1))</f>
        <v>8</v>
      </c>
      <c r="O47" s="12"/>
      <c r="T47" s="5" t="s">
        <v>79</v>
      </c>
      <c r="U47" s="5" t="s">
        <v>123</v>
      </c>
      <c r="V47" s="6" t="n">
        <f aca="false">IFERROR(MIN(ROUND(MAX(0,AVERAGE(Y47,AA47,AC47,AE47,AG47)),1),11.2),"")</f>
        <v>11.2</v>
      </c>
      <c r="W47" s="7" t="n">
        <f aca="false">COUNT(X47,Z47,AB47,AD47,AF47)</f>
        <v>4</v>
      </c>
      <c r="X47" s="13" t="n">
        <v>12</v>
      </c>
      <c r="Y47" s="6" t="n">
        <f aca="false">IF(X47="","",ROUND(((X47-AJ$7)/AJ$8)*AJ$18+AJ$17,1))</f>
        <v>11.6</v>
      </c>
      <c r="Z47" s="13"/>
      <c r="AA47" s="6" t="str">
        <f aca="false">IF(Z47="","",ROUND(((Z47-AJ$9)/AJ$10)*AJ$18+AJ$17,1))</f>
        <v/>
      </c>
      <c r="AB47" s="13" t="n">
        <v>16.1</v>
      </c>
      <c r="AC47" s="6" t="n">
        <f aca="false">IF(AB47="","",ROUND(((AB47-AJ$11)/AJ$12)*AJ$18+AJ$17,1))</f>
        <v>13.5</v>
      </c>
      <c r="AD47" s="17" t="n">
        <v>534</v>
      </c>
      <c r="AE47" s="6" t="n">
        <f aca="false">IF(AD47="","",ROUND(((AD47-AJ$13)/AJ$14)*AJ$18+AJ$17,1))</f>
        <v>12.8</v>
      </c>
      <c r="AF47" s="13" t="n">
        <v>8</v>
      </c>
      <c r="AG47" s="6" t="n">
        <f aca="false">IF(AF47="","",ROUND(((AF47-AJ$15)/AJ$16)*AJ$18+AJ$17,1))</f>
        <v>8</v>
      </c>
      <c r="AH47" s="12"/>
      <c r="AM47" s="5" t="s">
        <v>79</v>
      </c>
      <c r="AN47" s="5" t="s">
        <v>124</v>
      </c>
      <c r="AO47" s="6" t="n">
        <f aca="false">IFERROR(ROUND(MAX(0,AVERAGE(AR47,AT47)),1),"")</f>
        <v>2.8</v>
      </c>
      <c r="AP47" s="7" t="n">
        <f aca="false">COUNT(AQ47,AS47)</f>
        <v>2</v>
      </c>
      <c r="AQ47" s="13" t="n">
        <v>5</v>
      </c>
      <c r="AR47" s="6" t="n">
        <f aca="false">IF(AQ47="","",ROUND(((AQ47-BC$7)/BC$8)*BC$12+BC$11,1))</f>
        <v>4.5</v>
      </c>
      <c r="AS47" s="13" t="n">
        <v>11</v>
      </c>
      <c r="AT47" s="6" t="n">
        <f aca="false">IF(AS47="","",ROUND(((AS47-BC$9)/BC$10)*BC$12+BC$11,1))</f>
        <v>1.1</v>
      </c>
      <c r="AU47" s="14"/>
      <c r="AV47" s="14"/>
      <c r="AW47" s="14"/>
      <c r="AX47" s="14"/>
      <c r="AY47" s="14"/>
      <c r="AZ47" s="14"/>
      <c r="BA47" s="12"/>
    </row>
    <row r="48" customFormat="false" ht="15" hidden="false" customHeight="true" outlineLevel="0" collapsed="false">
      <c r="A48" s="5" t="s">
        <v>79</v>
      </c>
      <c r="B48" s="5" t="s">
        <v>119</v>
      </c>
      <c r="C48" s="6" t="n">
        <f aca="false">IFERROR(ROUND(MAX(0,AVERAGE(F48,H48,J48,L48,N48)),1),"")</f>
        <v>9.7</v>
      </c>
      <c r="D48" s="7" t="n">
        <f aca="false">COUNT(E48,G48,I48,K48,M48)</f>
        <v>5</v>
      </c>
      <c r="E48" s="13" t="n">
        <v>14</v>
      </c>
      <c r="F48" s="6" t="n">
        <f aca="false">IF(E48="","",ROUND(((E48-Q$7)/Q$8)*Q$18+Q$17,1))</f>
        <v>12.7</v>
      </c>
      <c r="G48" s="13" t="n">
        <v>5</v>
      </c>
      <c r="H48" s="6" t="n">
        <f aca="false">IF(G48="","",ROUND(((G48-Q$9)/Q$10)*Q$18+Q$17,1))</f>
        <v>9.1</v>
      </c>
      <c r="I48" s="17" t="n">
        <v>8</v>
      </c>
      <c r="J48" s="6" t="n">
        <f aca="false">IF(I48="","",ROUND(((I48-Q$11)/Q$12)*Q$18+Q$17,1))</f>
        <v>3.6</v>
      </c>
      <c r="K48" s="13" t="n">
        <v>374</v>
      </c>
      <c r="L48" s="6" t="n">
        <f aca="false">IF(K48="","",ROUND(((K48-Q$13)/Q$14)*Q$18+Q$17,1))</f>
        <v>9.2</v>
      </c>
      <c r="M48" s="13" t="n">
        <v>14</v>
      </c>
      <c r="N48" s="6" t="n">
        <f aca="false">IF(M48="","",ROUND(((M48-Q$15)/Q$16)*Q$18+Q$17,1))</f>
        <v>14</v>
      </c>
      <c r="O48" s="12"/>
      <c r="T48" s="5" t="s">
        <v>79</v>
      </c>
      <c r="U48" s="5" t="s">
        <v>119</v>
      </c>
      <c r="V48" s="6" t="n">
        <f aca="false">IFERROR(MIN(ROUND(MAX(0,AVERAGE(Y48,AA48,AC48,AE48,AG48)),1),9.7),"")</f>
        <v>9.7</v>
      </c>
      <c r="W48" s="7" t="n">
        <f aca="false">COUNT(X48,Z48,AB48,AD48,AF48)</f>
        <v>5</v>
      </c>
      <c r="X48" s="13" t="n">
        <v>13</v>
      </c>
      <c r="Y48" s="6" t="n">
        <f aca="false">IF(X48="","",ROUND(((X48-AJ$7)/AJ$8)*AJ$18+AJ$17,1))</f>
        <v>12.5</v>
      </c>
      <c r="Z48" s="13" t="n">
        <v>5</v>
      </c>
      <c r="AA48" s="6" t="n">
        <f aca="false">IF(Z48="","",ROUND(((Z48-AJ$9)/AJ$10)*AJ$18+AJ$17,1))</f>
        <v>9.5</v>
      </c>
      <c r="AB48" s="13" t="n">
        <v>8</v>
      </c>
      <c r="AC48" s="6" t="n">
        <f aca="false">IF(AB48="","",ROUND(((AB48-AJ$11)/AJ$12)*AJ$18+AJ$17,1))</f>
        <v>4.7</v>
      </c>
      <c r="AD48" s="17" t="n">
        <v>374</v>
      </c>
      <c r="AE48" s="6" t="n">
        <f aca="false">IF(AD48="","",ROUND(((AD48-AJ$13)/AJ$14)*AJ$18+AJ$17,1))</f>
        <v>9.2</v>
      </c>
      <c r="AF48" s="13" t="n">
        <v>14</v>
      </c>
      <c r="AG48" s="6" t="n">
        <f aca="false">IF(AF48="","",ROUND(((AF48-AJ$15)/AJ$16)*AJ$18+AJ$17,1))</f>
        <v>14</v>
      </c>
      <c r="AH48" s="12"/>
      <c r="AM48" s="5" t="s">
        <v>79</v>
      </c>
      <c r="AN48" s="5" t="s">
        <v>122</v>
      </c>
      <c r="AO48" s="6" t="n">
        <f aca="false">IFERROR(ROUND(MAX(0,AVERAGE(AR48,AT48)),1),"")</f>
        <v>2.4</v>
      </c>
      <c r="AP48" s="7" t="n">
        <f aca="false">COUNT(AQ48,AS48)</f>
        <v>2</v>
      </c>
      <c r="AQ48" s="13" t="n">
        <v>5</v>
      </c>
      <c r="AR48" s="6" t="n">
        <f aca="false">IF(AQ48="","",ROUND(((AQ48-BC$7)/BC$8)*BC$12+BC$11,1))</f>
        <v>4.5</v>
      </c>
      <c r="AS48" s="13" t="n">
        <v>10</v>
      </c>
      <c r="AT48" s="6" t="n">
        <f aca="false">IF(AS48="","",ROUND(((AS48-BC$9)/BC$10)*BC$12+BC$11,1))</f>
        <v>0.2</v>
      </c>
      <c r="AU48" s="14"/>
      <c r="AV48" s="14"/>
      <c r="AW48" s="14"/>
      <c r="AX48" s="14"/>
      <c r="AY48" s="14"/>
      <c r="AZ48" s="14"/>
      <c r="BA48" s="12"/>
    </row>
    <row r="49" customFormat="false" ht="15" hidden="false" customHeight="true" outlineLevel="0" collapsed="false">
      <c r="A49" s="5" t="s">
        <v>79</v>
      </c>
      <c r="B49" s="5" t="s">
        <v>125</v>
      </c>
      <c r="C49" s="6" t="n">
        <f aca="false">IFERROR(ROUND(MAX(0,AVERAGE(F49,H49,J49,L49,N49)),1),"")</f>
        <v>9.6</v>
      </c>
      <c r="D49" s="7" t="n">
        <f aca="false">COUNT(E49,G49,I49,K49,M49)</f>
        <v>5</v>
      </c>
      <c r="E49" s="13" t="n">
        <v>14</v>
      </c>
      <c r="F49" s="6" t="n">
        <f aca="false">IF(E49="","",ROUND(((E49-Q$7)/Q$8)*Q$18+Q$17,1))</f>
        <v>12.7</v>
      </c>
      <c r="G49" s="13" t="n">
        <v>5</v>
      </c>
      <c r="H49" s="6" t="n">
        <f aca="false">IF(G49="","",ROUND(((G49-Q$9)/Q$10)*Q$18+Q$17,1))</f>
        <v>9.1</v>
      </c>
      <c r="I49" s="17" t="n">
        <v>1.4</v>
      </c>
      <c r="J49" s="6" t="n">
        <f aca="false">IF(I49="","",ROUND(((I49-Q$11)/Q$12)*Q$18+Q$17,1))</f>
        <v>-3.6</v>
      </c>
      <c r="K49" s="13" t="n">
        <v>710</v>
      </c>
      <c r="L49" s="6" t="n">
        <f aca="false">IF(K49="","",ROUND(((K49-Q$13)/Q$14)*Q$18+Q$17,1))</f>
        <v>16.9</v>
      </c>
      <c r="M49" s="13" t="n">
        <v>13</v>
      </c>
      <c r="N49" s="6" t="n">
        <f aca="false">IF(M49="","",ROUND(((M49-Q$15)/Q$16)*Q$18+Q$17,1))</f>
        <v>13</v>
      </c>
      <c r="O49" s="12"/>
      <c r="T49" s="5" t="s">
        <v>79</v>
      </c>
      <c r="U49" s="5" t="s">
        <v>125</v>
      </c>
      <c r="V49" s="6" t="n">
        <f aca="false">IFERROR(MIN(ROUND(MAX(0,AVERAGE(Y49,AA49,AC49,AE49,AG49)),1),9.6),"")</f>
        <v>8.9</v>
      </c>
      <c r="W49" s="7" t="n">
        <f aca="false">COUNT(X49,Z49,AB49,AD49,AF49)</f>
        <v>5</v>
      </c>
      <c r="X49" s="13" t="n">
        <v>13</v>
      </c>
      <c r="Y49" s="6" t="n">
        <f aca="false">IF(X49="","",ROUND(((X49-AJ$7)/AJ$8)*AJ$18+AJ$17,1))</f>
        <v>12.5</v>
      </c>
      <c r="Z49" s="17" t="n">
        <v>4.6</v>
      </c>
      <c r="AA49" s="6" t="n">
        <f aca="false">IF(Z49="","",ROUND(((Z49-AJ$9)/AJ$10)*AJ$18+AJ$17,1))</f>
        <v>8.9</v>
      </c>
      <c r="AB49" s="13" t="n">
        <v>1.3</v>
      </c>
      <c r="AC49" s="6" t="n">
        <f aca="false">IF(AB49="","",ROUND(((AB49-AJ$11)/AJ$12)*AJ$18+AJ$17,1))</f>
        <v>-2.5</v>
      </c>
      <c r="AD49" s="17" t="n">
        <v>659.3</v>
      </c>
      <c r="AE49" s="6" t="n">
        <f aca="false">IF(AD49="","",ROUND(((AD49-AJ$13)/AJ$14)*AJ$18+AJ$17,1))</f>
        <v>15.7</v>
      </c>
      <c r="AF49" s="13" t="n">
        <v>10</v>
      </c>
      <c r="AG49" s="6" t="n">
        <f aca="false">IF(AF49="","",ROUND(((AF49-AJ$15)/AJ$16)*AJ$18+AJ$17,1))</f>
        <v>10</v>
      </c>
      <c r="AH49" s="12"/>
      <c r="AM49" s="5" t="s">
        <v>79</v>
      </c>
      <c r="AN49" s="5" t="s">
        <v>120</v>
      </c>
      <c r="AO49" s="6" t="n">
        <f aca="false">IFERROR(ROUND(MAX(0,AVERAGE(AR49,AT49)),1),"")</f>
        <v>1.5</v>
      </c>
      <c r="AP49" s="7" t="n">
        <f aca="false">COUNT(AQ49,AS49)</f>
        <v>2</v>
      </c>
      <c r="AQ49" s="13" t="n">
        <v>5</v>
      </c>
      <c r="AR49" s="6" t="n">
        <f aca="false">IF(AQ49="","",ROUND(((AQ49-BC$7)/BC$8)*BC$12+BC$11,1))</f>
        <v>4.5</v>
      </c>
      <c r="AS49" s="13" t="n">
        <v>8</v>
      </c>
      <c r="AT49" s="6" t="n">
        <f aca="false">IF(AS49="","",ROUND(((AS49-BC$9)/BC$10)*BC$12+BC$11,1))</f>
        <v>-1.5</v>
      </c>
      <c r="AU49" s="14"/>
      <c r="AV49" s="14"/>
      <c r="AW49" s="14"/>
      <c r="AX49" s="14"/>
      <c r="AY49" s="14"/>
      <c r="AZ49" s="14"/>
      <c r="BA49" s="12"/>
    </row>
    <row r="50" customFormat="false" ht="15" hidden="false" customHeight="true" outlineLevel="0" collapsed="false">
      <c r="A50" s="5" t="s">
        <v>79</v>
      </c>
      <c r="B50" s="5" t="s">
        <v>121</v>
      </c>
      <c r="C50" s="6" t="n">
        <f aca="false">IFERROR(ROUND(MAX(0,AVERAGE(F50,H50,J50,L50,N50)),1),"")</f>
        <v>9.2</v>
      </c>
      <c r="D50" s="7" t="n">
        <f aca="false">COUNT(E50,G50,I50,K50,M50)</f>
        <v>5</v>
      </c>
      <c r="E50" s="13" t="n">
        <v>17</v>
      </c>
      <c r="F50" s="6" t="n">
        <f aca="false">IF(E50="","",ROUND(((E50-Q$7)/Q$8)*Q$18+Q$17,1))</f>
        <v>15.3</v>
      </c>
      <c r="G50" s="13" t="n">
        <v>6</v>
      </c>
      <c r="H50" s="6" t="n">
        <f aca="false">IF(G50="","",ROUND(((G50-Q$9)/Q$10)*Q$18+Q$17,1))</f>
        <v>10.6</v>
      </c>
      <c r="I50" s="17" t="n">
        <v>6.7</v>
      </c>
      <c r="J50" s="6" t="n">
        <f aca="false">IF(I50="","",ROUND(((I50-Q$11)/Q$12)*Q$18+Q$17,1))</f>
        <v>2.2</v>
      </c>
      <c r="K50" s="13" t="n">
        <v>150</v>
      </c>
      <c r="L50" s="6" t="n">
        <f aca="false">IF(K50="","",ROUND(((K50-Q$13)/Q$14)*Q$18+Q$17,1))</f>
        <v>4</v>
      </c>
      <c r="M50" s="13" t="n">
        <v>14</v>
      </c>
      <c r="N50" s="6" t="n">
        <f aca="false">IF(M50="","",ROUND(((M50-Q$15)/Q$16)*Q$18+Q$17,1))</f>
        <v>14</v>
      </c>
      <c r="O50" s="12"/>
      <c r="T50" s="5" t="s">
        <v>79</v>
      </c>
      <c r="U50" s="5" t="s">
        <v>121</v>
      </c>
      <c r="V50" s="6" t="n">
        <f aca="false">IFERROR(MIN(ROUND(MAX(0,AVERAGE(Y50,AA50,AC50,AE50,AG50)),1),9.2),"")</f>
        <v>9</v>
      </c>
      <c r="W50" s="7" t="n">
        <f aca="false">COUNT(X50,Z50,AB50,AD50,AF50)</f>
        <v>5</v>
      </c>
      <c r="X50" s="13" t="n">
        <v>15</v>
      </c>
      <c r="Y50" s="6" t="n">
        <f aca="false">IF(X50="","",ROUND(((X50-AJ$7)/AJ$8)*AJ$18+AJ$17,1))</f>
        <v>14.2</v>
      </c>
      <c r="Z50" s="13" t="n">
        <v>6</v>
      </c>
      <c r="AA50" s="6" t="n">
        <f aca="false">IF(Z50="","",ROUND(((Z50-AJ$9)/AJ$10)*AJ$18+AJ$17,1))</f>
        <v>11</v>
      </c>
      <c r="AB50" s="13" t="n">
        <v>6.2</v>
      </c>
      <c r="AC50" s="6" t="n">
        <f aca="false">IF(AB50="","",ROUND(((AB50-AJ$11)/AJ$12)*AJ$18+AJ$17,1))</f>
        <v>2.8</v>
      </c>
      <c r="AD50" s="17" t="n">
        <v>139.3</v>
      </c>
      <c r="AE50" s="6" t="n">
        <f aca="false">IF(AD50="","",ROUND(((AD50-AJ$13)/AJ$14)*AJ$18+AJ$17,1))</f>
        <v>3.8</v>
      </c>
      <c r="AF50" s="13" t="n">
        <v>13</v>
      </c>
      <c r="AG50" s="6" t="n">
        <f aca="false">IF(AF50="","",ROUND(((AF50-AJ$15)/AJ$16)*AJ$18+AJ$17,1))</f>
        <v>13</v>
      </c>
      <c r="AH50" s="12"/>
      <c r="AM50" s="5" t="s">
        <v>79</v>
      </c>
      <c r="AN50" s="5" t="s">
        <v>126</v>
      </c>
      <c r="AO50" s="6" t="n">
        <f aca="false">IFERROR(ROUND(MAX(0,AVERAGE(AR50,AT50)),1),"")</f>
        <v>0.8</v>
      </c>
      <c r="AP50" s="7" t="n">
        <f aca="false">COUNT(AQ50,AS50)</f>
        <v>2</v>
      </c>
      <c r="AQ50" s="13" t="n">
        <v>6</v>
      </c>
      <c r="AR50" s="6" t="n">
        <f aca="false">IF(AQ50="","",ROUND(((AQ50-BC$7)/BC$8)*BC$12+BC$11,1))</f>
        <v>5.8</v>
      </c>
      <c r="AS50" s="13" t="n">
        <v>5</v>
      </c>
      <c r="AT50" s="6" t="n">
        <f aca="false">IF(AS50="","",ROUND(((AS50-BC$9)/BC$10)*BC$12+BC$11,1))</f>
        <v>-4.2</v>
      </c>
      <c r="AU50" s="14"/>
      <c r="AV50" s="14"/>
      <c r="AW50" s="14"/>
      <c r="AX50" s="14"/>
      <c r="AY50" s="14"/>
      <c r="AZ50" s="14"/>
      <c r="BA50" s="12"/>
    </row>
    <row r="51" customFormat="false" ht="15" hidden="false" customHeight="true" outlineLevel="0" collapsed="false">
      <c r="A51" s="5" t="s">
        <v>79</v>
      </c>
      <c r="B51" s="5" t="s">
        <v>127</v>
      </c>
      <c r="C51" s="6" t="n">
        <f aca="false">IFERROR(ROUND(MAX(0,AVERAGE(F51,H51,J51,L51,N51)),1),"")</f>
        <v>8.8</v>
      </c>
      <c r="D51" s="7" t="n">
        <f aca="false">COUNT(E51,G51,I51,K51,M51)</f>
        <v>4</v>
      </c>
      <c r="E51" s="13" t="n">
        <v>9</v>
      </c>
      <c r="F51" s="6" t="n">
        <f aca="false">IF(E51="","",ROUND(((E51-Q$7)/Q$8)*Q$18+Q$17,1))</f>
        <v>8.5</v>
      </c>
      <c r="G51" s="13" t="n">
        <v>5</v>
      </c>
      <c r="H51" s="6" t="n">
        <f aca="false">IF(G51="","",ROUND(((G51-Q$9)/Q$10)*Q$18+Q$17,1))</f>
        <v>9.1</v>
      </c>
      <c r="I51" s="13"/>
      <c r="J51" s="6" t="str">
        <f aca="false">IF(I51="","",ROUND(((I51-Q$11)/Q$12)*Q$18+Q$17,1))</f>
        <v/>
      </c>
      <c r="K51" s="13" t="n">
        <v>262</v>
      </c>
      <c r="L51" s="6" t="n">
        <f aca="false">IF(K51="","",ROUND(((K51-Q$13)/Q$14)*Q$18+Q$17,1))</f>
        <v>6.6</v>
      </c>
      <c r="M51" s="13" t="n">
        <v>11</v>
      </c>
      <c r="N51" s="6" t="n">
        <f aca="false">IF(M51="","",ROUND(((M51-Q$15)/Q$16)*Q$18+Q$17,1))</f>
        <v>11</v>
      </c>
      <c r="O51" s="12"/>
      <c r="T51" s="5" t="s">
        <v>79</v>
      </c>
      <c r="U51" s="5" t="s">
        <v>127</v>
      </c>
      <c r="V51" s="6" t="n">
        <f aca="false">IFERROR(MIN(ROUND(MAX(0,AVERAGE(Y51,AA51,AC51,AE51,AG51)),1),8.8),"")</f>
        <v>8</v>
      </c>
      <c r="W51" s="7" t="n">
        <f aca="false">COUNT(X51,Z51,AB51,AD51,AF51)</f>
        <v>4</v>
      </c>
      <c r="X51" s="13" t="n">
        <v>8</v>
      </c>
      <c r="Y51" s="6" t="n">
        <f aca="false">IF(X51="","",ROUND(((X51-AJ$7)/AJ$8)*AJ$18+AJ$17,1))</f>
        <v>8.3</v>
      </c>
      <c r="Z51" s="17" t="n">
        <v>4.4</v>
      </c>
      <c r="AA51" s="6" t="n">
        <f aca="false">IF(Z51="","",ROUND(((Z51-AJ$9)/AJ$10)*AJ$18+AJ$17,1))</f>
        <v>8.6</v>
      </c>
      <c r="AB51" s="13"/>
      <c r="AC51" s="6" t="str">
        <f aca="false">IF(AB51="","",ROUND(((AB51-AJ$11)/AJ$12)*AJ$18+AJ$17,1))</f>
        <v/>
      </c>
      <c r="AD51" s="17" t="n">
        <v>232.9</v>
      </c>
      <c r="AE51" s="6" t="n">
        <f aca="false">IF(AD51="","",ROUND(((AD51-AJ$13)/AJ$14)*AJ$18+AJ$17,1))</f>
        <v>5.9</v>
      </c>
      <c r="AF51" s="13" t="n">
        <v>9</v>
      </c>
      <c r="AG51" s="6" t="n">
        <f aca="false">IF(AF51="","",ROUND(((AF51-AJ$15)/AJ$16)*AJ$18+AJ$17,1))</f>
        <v>9</v>
      </c>
      <c r="AH51" s="12"/>
    </row>
    <row r="52" customFormat="false" ht="15" hidden="false" customHeight="true" outlineLevel="0" collapsed="false">
      <c r="A52" s="5" t="s">
        <v>79</v>
      </c>
      <c r="B52" s="5" t="s">
        <v>126</v>
      </c>
      <c r="C52" s="6" t="n">
        <f aca="false">IFERROR(ROUND(MAX(0,AVERAGE(F52,H52,J52,L52,N52)),1),"")</f>
        <v>8.3</v>
      </c>
      <c r="D52" s="7" t="n">
        <f aca="false">COUNT(E52,G52,I52,K52,M52)</f>
        <v>5</v>
      </c>
      <c r="E52" s="13" t="n">
        <v>12</v>
      </c>
      <c r="F52" s="6" t="n">
        <f aca="false">IF(E52="","",ROUND(((E52-Q$7)/Q$8)*Q$18+Q$17,1))</f>
        <v>11</v>
      </c>
      <c r="G52" s="13" t="n">
        <v>6</v>
      </c>
      <c r="H52" s="6" t="n">
        <f aca="false">IF(G52="","",ROUND(((G52-Q$9)/Q$10)*Q$18+Q$17,1))</f>
        <v>10.6</v>
      </c>
      <c r="I52" s="17" t="n">
        <v>14.2</v>
      </c>
      <c r="J52" s="6" t="n">
        <f aca="false">IF(I52="","",ROUND(((I52-Q$11)/Q$12)*Q$18+Q$17,1))</f>
        <v>10.3</v>
      </c>
      <c r="K52" s="13" t="n">
        <v>186</v>
      </c>
      <c r="L52" s="6" t="n">
        <f aca="false">IF(K52="","",ROUND(((K52-Q$13)/Q$14)*Q$18+Q$17,1))</f>
        <v>4.8</v>
      </c>
      <c r="M52" s="13" t="n">
        <v>5</v>
      </c>
      <c r="N52" s="6" t="n">
        <f aca="false">IF(M52="","",ROUND(((M52-Q$15)/Q$16)*Q$18+Q$17,1))</f>
        <v>5</v>
      </c>
      <c r="O52" s="12"/>
      <c r="T52" s="5" t="s">
        <v>79</v>
      </c>
      <c r="U52" s="5" t="s">
        <v>126</v>
      </c>
      <c r="V52" s="6" t="n">
        <f aca="false">IFERROR(MIN(ROUND(MAX(0,AVERAGE(Y52,AA52,AC52,AE52,AG52)),1),8.3),"")</f>
        <v>8.3</v>
      </c>
      <c r="W52" s="7" t="n">
        <f aca="false">COUNT(X52,Z52,AB52,AD52,AF52)</f>
        <v>5</v>
      </c>
      <c r="X52" s="13" t="n">
        <v>11</v>
      </c>
      <c r="Y52" s="6" t="n">
        <f aca="false">IF(X52="","",ROUND(((X52-AJ$7)/AJ$8)*AJ$18+AJ$17,1))</f>
        <v>10.8</v>
      </c>
      <c r="Z52" s="13" t="n">
        <v>6</v>
      </c>
      <c r="AA52" s="6" t="n">
        <f aca="false">IF(Z52="","",ROUND(((Z52-AJ$9)/AJ$10)*AJ$18+AJ$17,1))</f>
        <v>11</v>
      </c>
      <c r="AB52" s="13" t="n">
        <v>14.2</v>
      </c>
      <c r="AC52" s="6" t="n">
        <f aca="false">IF(AB52="","",ROUND(((AB52-AJ$11)/AJ$12)*AJ$18+AJ$17,1))</f>
        <v>11.5</v>
      </c>
      <c r="AD52" s="17" t="n">
        <v>186</v>
      </c>
      <c r="AE52" s="6" t="n">
        <f aca="false">IF(AD52="","",ROUND(((AD52-AJ$13)/AJ$14)*AJ$18+AJ$17,1))</f>
        <v>4.9</v>
      </c>
      <c r="AF52" s="13" t="n">
        <v>5</v>
      </c>
      <c r="AG52" s="6" t="n">
        <f aca="false">IF(AF52="","",ROUND(((AF52-AJ$15)/AJ$16)*AJ$18+AJ$17,1))</f>
        <v>5</v>
      </c>
      <c r="AH52" s="12"/>
    </row>
    <row r="53" customFormat="false" ht="15" hidden="false" customHeight="true" outlineLevel="0" collapsed="false">
      <c r="A53" s="5" t="s">
        <v>79</v>
      </c>
      <c r="B53" s="5" t="s">
        <v>124</v>
      </c>
      <c r="C53" s="6" t="n">
        <f aca="false">IFERROR(ROUND(MAX(0,AVERAGE(F53,H53,J53,L53,N53)),1),"")</f>
        <v>8.3</v>
      </c>
      <c r="D53" s="7" t="n">
        <f aca="false">COUNT(E53,G53,I53,K53,M53)</f>
        <v>5</v>
      </c>
      <c r="E53" s="13" t="n">
        <v>13</v>
      </c>
      <c r="F53" s="6" t="n">
        <f aca="false">IF(E53="","",ROUND(((E53-Q$7)/Q$8)*Q$18+Q$17,1))</f>
        <v>11.9</v>
      </c>
      <c r="G53" s="13" t="n">
        <v>5</v>
      </c>
      <c r="H53" s="6" t="n">
        <f aca="false">IF(G53="","",ROUND(((G53-Q$9)/Q$10)*Q$18+Q$17,1))</f>
        <v>9.1</v>
      </c>
      <c r="I53" s="17" t="n">
        <v>1.4</v>
      </c>
      <c r="J53" s="6" t="n">
        <f aca="false">IF(I53="","",ROUND(((I53-Q$11)/Q$12)*Q$18+Q$17,1))</f>
        <v>-3.6</v>
      </c>
      <c r="K53" s="13" t="n">
        <v>539</v>
      </c>
      <c r="L53" s="6" t="n">
        <f aca="false">IF(K53="","",ROUND(((K53-Q$13)/Q$14)*Q$18+Q$17,1))</f>
        <v>13</v>
      </c>
      <c r="M53" s="13" t="n">
        <v>11</v>
      </c>
      <c r="N53" s="6" t="n">
        <f aca="false">IF(M53="","",ROUND(((M53-Q$15)/Q$16)*Q$18+Q$17,1))</f>
        <v>11</v>
      </c>
      <c r="O53" s="12"/>
      <c r="T53" s="5" t="s">
        <v>79</v>
      </c>
      <c r="U53" s="5" t="s">
        <v>124</v>
      </c>
      <c r="V53" s="6" t="n">
        <f aca="false">IFERROR(MIN(ROUND(MAX(0,AVERAGE(Y53,AA53,AC53,AE53,AG53)),1),8.2),"")</f>
        <v>8.2</v>
      </c>
      <c r="W53" s="7" t="n">
        <f aca="false">COUNT(X53,Z53,AB53,AD53,AF53)</f>
        <v>5</v>
      </c>
      <c r="X53" s="13" t="n">
        <v>12</v>
      </c>
      <c r="Y53" s="6" t="n">
        <f aca="false">IF(X53="","",ROUND(((X53-AJ$7)/AJ$8)*AJ$18+AJ$17,1))</f>
        <v>11.6</v>
      </c>
      <c r="Z53" s="13" t="n">
        <v>5</v>
      </c>
      <c r="AA53" s="6" t="n">
        <f aca="false">IF(Z53="","",ROUND(((Z53-AJ$9)/AJ$10)*AJ$18+AJ$17,1))</f>
        <v>9.5</v>
      </c>
      <c r="AB53" s="13" t="n">
        <v>1.4</v>
      </c>
      <c r="AC53" s="6" t="n">
        <f aca="false">IF(AB53="","",ROUND(((AB53-AJ$11)/AJ$12)*AJ$18+AJ$17,1))</f>
        <v>-2.4</v>
      </c>
      <c r="AD53" s="17" t="n">
        <v>539</v>
      </c>
      <c r="AE53" s="6" t="n">
        <f aca="false">IF(AD53="","",ROUND(((AD53-AJ$13)/AJ$14)*AJ$18+AJ$17,1))</f>
        <v>12.9</v>
      </c>
      <c r="AF53" s="13" t="n">
        <v>11</v>
      </c>
      <c r="AG53" s="6" t="n">
        <f aca="false">IF(AF53="","",ROUND(((AF53-AJ$15)/AJ$16)*AJ$18+AJ$17,1))</f>
        <v>11</v>
      </c>
      <c r="AH53" s="12"/>
    </row>
    <row r="54" customFormat="false" ht="15" hidden="false" customHeight="true" outlineLevel="0" collapsed="false">
      <c r="A54" s="5" t="s">
        <v>79</v>
      </c>
      <c r="B54" s="5" t="s">
        <v>128</v>
      </c>
      <c r="C54" s="6" t="n">
        <f aca="false">IFERROR(ROUND(MAX(0,AVERAGE(F54,H54,J54,L54,N54)),1),"")</f>
        <v>8.1</v>
      </c>
      <c r="D54" s="7" t="n">
        <f aca="false">COUNT(E54,G54,I54,K54,M54)</f>
        <v>3</v>
      </c>
      <c r="E54" s="13" t="n">
        <v>8</v>
      </c>
      <c r="F54" s="6" t="n">
        <f aca="false">IF(E54="","",ROUND(((E54-Q$7)/Q$8)*Q$18+Q$17,1))</f>
        <v>7.6</v>
      </c>
      <c r="G54" s="13"/>
      <c r="H54" s="6" t="str">
        <f aca="false">IF(G54="","",ROUND(((G54-Q$9)/Q$10)*Q$18+Q$17,1))</f>
        <v/>
      </c>
      <c r="I54" s="13"/>
      <c r="J54" s="6" t="str">
        <f aca="false">IF(I54="","",ROUND(((I54-Q$11)/Q$12)*Q$18+Q$17,1))</f>
        <v/>
      </c>
      <c r="K54" s="13" t="n">
        <v>489</v>
      </c>
      <c r="L54" s="6" t="n">
        <f aca="false">IF(K54="","",ROUND(((K54-Q$13)/Q$14)*Q$18+Q$17,1))</f>
        <v>11.8</v>
      </c>
      <c r="M54" s="13" t="n">
        <v>5</v>
      </c>
      <c r="N54" s="6" t="n">
        <f aca="false">IF(M54="","",ROUND(((M54-Q$15)/Q$16)*Q$18+Q$17,1))</f>
        <v>5</v>
      </c>
      <c r="O54" s="12"/>
      <c r="T54" s="5" t="s">
        <v>79</v>
      </c>
      <c r="U54" s="5" t="s">
        <v>128</v>
      </c>
      <c r="V54" s="6" t="n">
        <f aca="false">IFERROR(MIN(ROUND(MAX(0,AVERAGE(Y54,AA54,AC54,AE54,AG54)),1),8.1),"")</f>
        <v>8.1</v>
      </c>
      <c r="W54" s="7" t="n">
        <f aca="false">COUNT(X54,Z54,AB54,AD54,AF54)</f>
        <v>3</v>
      </c>
      <c r="X54" s="13" t="n">
        <v>7</v>
      </c>
      <c r="Y54" s="6" t="n">
        <f aca="false">IF(X54="","",ROUND(((X54-AJ$7)/AJ$8)*AJ$18+AJ$17,1))</f>
        <v>7.4</v>
      </c>
      <c r="Z54" s="13"/>
      <c r="AA54" s="6" t="str">
        <f aca="false">IF(Z54="","",ROUND(((Z54-AJ$9)/AJ$10)*AJ$18+AJ$17,1))</f>
        <v/>
      </c>
      <c r="AB54" s="13"/>
      <c r="AC54" s="6" t="str">
        <f aca="false">IF(AB54="","",ROUND(((AB54-AJ$11)/AJ$12)*AJ$18+AJ$17,1))</f>
        <v/>
      </c>
      <c r="AD54" s="17" t="n">
        <v>489</v>
      </c>
      <c r="AE54" s="6" t="n">
        <f aca="false">IF(AD54="","",ROUND(((AD54-AJ$13)/AJ$14)*AJ$18+AJ$17,1))</f>
        <v>11.8</v>
      </c>
      <c r="AF54" s="13" t="n">
        <v>5</v>
      </c>
      <c r="AG54" s="6" t="n">
        <f aca="false">IF(AF54="","",ROUND(((AF54-AJ$15)/AJ$16)*AJ$18+AJ$17,1))</f>
        <v>5</v>
      </c>
      <c r="AH54" s="12"/>
    </row>
    <row r="55" customFormat="false" ht="15" hidden="false" customHeight="true" outlineLevel="0" collapsed="false">
      <c r="A55" s="5" t="s">
        <v>79</v>
      </c>
      <c r="B55" s="5" t="s">
        <v>129</v>
      </c>
      <c r="C55" s="6" t="n">
        <f aca="false">IFERROR(ROUND(MAX(0,AVERAGE(F55,H55,J55,L55,N55)),1),"")</f>
        <v>8</v>
      </c>
      <c r="D55" s="7" t="n">
        <f aca="false">COUNT(E55,G55,I55,K55,M55)</f>
        <v>3</v>
      </c>
      <c r="E55" s="13" t="n">
        <v>8</v>
      </c>
      <c r="F55" s="6" t="n">
        <f aca="false">IF(E55="","",ROUND(((E55-Q$7)/Q$8)*Q$18+Q$17,1))</f>
        <v>7.6</v>
      </c>
      <c r="G55" s="13"/>
      <c r="H55" s="6" t="str">
        <f aca="false">IF(G55="","",ROUND(((G55-Q$9)/Q$10)*Q$18+Q$17,1))</f>
        <v/>
      </c>
      <c r="I55" s="13"/>
      <c r="J55" s="6" t="str">
        <f aca="false">IF(I55="","",ROUND(((I55-Q$11)/Q$12)*Q$18+Q$17,1))</f>
        <v/>
      </c>
      <c r="K55" s="13" t="n">
        <v>429</v>
      </c>
      <c r="L55" s="6" t="n">
        <f aca="false">IF(K55="","",ROUND(((K55-Q$13)/Q$14)*Q$18+Q$17,1))</f>
        <v>10.4</v>
      </c>
      <c r="M55" s="13" t="n">
        <v>6</v>
      </c>
      <c r="N55" s="6" t="n">
        <f aca="false">IF(M55="","",ROUND(((M55-Q$15)/Q$16)*Q$18+Q$17,1))</f>
        <v>6</v>
      </c>
      <c r="O55" s="12"/>
      <c r="T55" s="5" t="s">
        <v>79</v>
      </c>
      <c r="U55" s="5" t="s">
        <v>130</v>
      </c>
      <c r="V55" s="6" t="n">
        <f aca="false">IFERROR(MIN(ROUND(MAX(0,AVERAGE(Y55,AA55,AC55,AE55,AG55)),1),7.8),"")</f>
        <v>7.6</v>
      </c>
      <c r="W55" s="7" t="n">
        <f aca="false">COUNT(X55,Z55,AB55,AD55,AF55)</f>
        <v>4</v>
      </c>
      <c r="X55" s="13" t="n">
        <v>12</v>
      </c>
      <c r="Y55" s="6" t="n">
        <f aca="false">IF(X55="","",ROUND(((X55-AJ$7)/AJ$8)*AJ$18+AJ$17,1))</f>
        <v>11.6</v>
      </c>
      <c r="Z55" s="13"/>
      <c r="AA55" s="6" t="str">
        <f aca="false">IF(Z55="","",ROUND(((Z55-AJ$9)/AJ$10)*AJ$18+AJ$17,1))</f>
        <v/>
      </c>
      <c r="AB55" s="13" t="n">
        <v>1.9</v>
      </c>
      <c r="AC55" s="6" t="n">
        <f aca="false">IF(AB55="","",ROUND(((AB55-AJ$11)/AJ$12)*AJ$18+AJ$17,1))</f>
        <v>-1.9</v>
      </c>
      <c r="AD55" s="17" t="n">
        <v>474.5</v>
      </c>
      <c r="AE55" s="6" t="n">
        <f aca="false">IF(AD55="","",ROUND(((AD55-AJ$13)/AJ$14)*AJ$18+AJ$17,1))</f>
        <v>11.5</v>
      </c>
      <c r="AF55" s="13" t="n">
        <v>9</v>
      </c>
      <c r="AG55" s="6" t="n">
        <f aca="false">IF(AF55="","",ROUND(((AF55-AJ$15)/AJ$16)*AJ$18+AJ$17,1))</f>
        <v>9</v>
      </c>
      <c r="AH55" s="12"/>
    </row>
    <row r="56" customFormat="false" ht="15" hidden="false" customHeight="true" outlineLevel="0" collapsed="false">
      <c r="A56" s="5" t="s">
        <v>79</v>
      </c>
      <c r="B56" s="5" t="s">
        <v>130</v>
      </c>
      <c r="C56" s="6" t="n">
        <f aca="false">IFERROR(ROUND(MAX(0,AVERAGE(F56,H56,J56,L56,N56)),1),"")</f>
        <v>7.9</v>
      </c>
      <c r="D56" s="7" t="n">
        <f aca="false">COUNT(E56,G56,I56,K56,M56)</f>
        <v>4</v>
      </c>
      <c r="E56" s="13" t="n">
        <v>13</v>
      </c>
      <c r="F56" s="6" t="n">
        <f aca="false">IF(E56="","",ROUND(((E56-Q$7)/Q$8)*Q$18+Q$17,1))</f>
        <v>11.9</v>
      </c>
      <c r="G56" s="13"/>
      <c r="H56" s="6" t="str">
        <f aca="false">IF(G56="","",ROUND(((G56-Q$9)/Q$10)*Q$18+Q$17,1))</f>
        <v/>
      </c>
      <c r="I56" s="17" t="n">
        <v>2.1</v>
      </c>
      <c r="J56" s="6" t="n">
        <f aca="false">IF(I56="","",ROUND(((I56-Q$11)/Q$12)*Q$18+Q$17,1))</f>
        <v>-2.8</v>
      </c>
      <c r="K56" s="13" t="n">
        <v>514</v>
      </c>
      <c r="L56" s="6" t="n">
        <f aca="false">IF(K56="","",ROUND(((K56-Q$13)/Q$14)*Q$18+Q$17,1))</f>
        <v>12.4</v>
      </c>
      <c r="M56" s="13" t="n">
        <v>10</v>
      </c>
      <c r="N56" s="6" t="n">
        <f aca="false">IF(M56="","",ROUND(((M56-Q$15)/Q$16)*Q$18+Q$17,1))</f>
        <v>10</v>
      </c>
      <c r="O56" s="12"/>
      <c r="T56" s="5" t="s">
        <v>79</v>
      </c>
      <c r="U56" s="5" t="s">
        <v>131</v>
      </c>
      <c r="V56" s="6" t="n">
        <f aca="false">IFERROR(MIN(ROUND(MAX(0,AVERAGE(Y56,AA56,AC56,AE56,AG56)),1),7.3),"")</f>
        <v>6.2</v>
      </c>
      <c r="W56" s="7" t="n">
        <f aca="false">COUNT(X56,Z56,AB56,AD56,AF56)</f>
        <v>3</v>
      </c>
      <c r="X56" s="13" t="n">
        <v>7</v>
      </c>
      <c r="Y56" s="6" t="n">
        <f aca="false">IF(X56="","",ROUND(((X56-AJ$7)/AJ$8)*AJ$18+AJ$17,1))</f>
        <v>7.4</v>
      </c>
      <c r="Z56" s="13"/>
      <c r="AA56" s="6" t="str">
        <f aca="false">IF(Z56="","",ROUND(((Z56-AJ$9)/AJ$10)*AJ$18+AJ$17,1))</f>
        <v/>
      </c>
      <c r="AB56" s="13"/>
      <c r="AC56" s="6" t="str">
        <f aca="false">IF(AB56="","",ROUND(((AB56-AJ$11)/AJ$12)*AJ$18+AJ$17,1))</f>
        <v/>
      </c>
      <c r="AD56" s="17" t="n">
        <v>152.2</v>
      </c>
      <c r="AE56" s="6" t="n">
        <f aca="false">IF(AD56="","",ROUND(((AD56-AJ$13)/AJ$14)*AJ$18+AJ$17,1))</f>
        <v>4.1</v>
      </c>
      <c r="AF56" s="13" t="n">
        <v>7</v>
      </c>
      <c r="AG56" s="6" t="n">
        <f aca="false">IF(AF56="","",ROUND(((AF56-AJ$15)/AJ$16)*AJ$18+AJ$17,1))</f>
        <v>7</v>
      </c>
      <c r="AH56" s="12"/>
    </row>
    <row r="57" customFormat="false" ht="15" hidden="false" customHeight="true" outlineLevel="0" collapsed="false">
      <c r="A57" s="5" t="s">
        <v>79</v>
      </c>
      <c r="B57" s="5" t="s">
        <v>131</v>
      </c>
      <c r="C57" s="6" t="n">
        <f aca="false">IFERROR(ROUND(MAX(0,AVERAGE(F57,H57,J57,L57,N57)),1),"")</f>
        <v>7.4</v>
      </c>
      <c r="D57" s="7" t="n">
        <f aca="false">COUNT(E57,G57,I57,K57,M57)</f>
        <v>3</v>
      </c>
      <c r="E57" s="13" t="n">
        <v>8</v>
      </c>
      <c r="F57" s="6" t="n">
        <f aca="false">IF(E57="","",ROUND(((E57-Q$7)/Q$8)*Q$18+Q$17,1))</f>
        <v>7.6</v>
      </c>
      <c r="G57" s="13"/>
      <c r="H57" s="6" t="str">
        <f aca="false">IF(G57="","",ROUND(((G57-Q$9)/Q$10)*Q$18+Q$17,1))</f>
        <v/>
      </c>
      <c r="I57" s="13"/>
      <c r="J57" s="6" t="str">
        <f aca="false">IF(I57="","",ROUND(((I57-Q$11)/Q$12)*Q$18+Q$17,1))</f>
        <v/>
      </c>
      <c r="K57" s="13" t="n">
        <v>174</v>
      </c>
      <c r="L57" s="6" t="n">
        <f aca="false">IF(K57="","",ROUND(((K57-Q$13)/Q$14)*Q$18+Q$17,1))</f>
        <v>4.6</v>
      </c>
      <c r="M57" s="13" t="n">
        <v>10</v>
      </c>
      <c r="N57" s="6" t="n">
        <f aca="false">IF(M57="","",ROUND(((M57-Q$15)/Q$16)*Q$18+Q$17,1))</f>
        <v>10</v>
      </c>
      <c r="O57" s="12"/>
      <c r="T57" s="5" t="s">
        <v>79</v>
      </c>
      <c r="U57" s="5" t="s">
        <v>132</v>
      </c>
      <c r="V57" s="6" t="n">
        <f aca="false">IFERROR(MIN(ROUND(MAX(0,AVERAGE(Y57,AA57,AC57,AE57,AG57)),1),6.8),"")</f>
        <v>6.8</v>
      </c>
      <c r="W57" s="7" t="n">
        <f aca="false">COUNT(X57,Z57,AB57,AD57,AF57)</f>
        <v>4</v>
      </c>
      <c r="X57" s="13" t="n">
        <v>13</v>
      </c>
      <c r="Y57" s="6" t="n">
        <f aca="false">IF(X57="","",ROUND(((X57-AJ$7)/AJ$8)*AJ$18+AJ$17,1))</f>
        <v>12.5</v>
      </c>
      <c r="Z57" s="13"/>
      <c r="AA57" s="6" t="str">
        <f aca="false">IF(Z57="","",ROUND(((Z57-AJ$9)/AJ$10)*AJ$18+AJ$17,1))</f>
        <v/>
      </c>
      <c r="AB57" s="13" t="n">
        <v>2</v>
      </c>
      <c r="AC57" s="6" t="n">
        <f aca="false">IF(AB57="","",ROUND(((AB57-AJ$11)/AJ$12)*AJ$18+AJ$17,1))</f>
        <v>-1.8</v>
      </c>
      <c r="AD57" s="17" t="n">
        <v>519</v>
      </c>
      <c r="AE57" s="6" t="n">
        <f aca="false">IF(AD57="","",ROUND(((AD57-AJ$13)/AJ$14)*AJ$18+AJ$17,1))</f>
        <v>12.5</v>
      </c>
      <c r="AF57" s="13" t="n">
        <v>5</v>
      </c>
      <c r="AG57" s="6" t="n">
        <f aca="false">IF(AF57="","",ROUND(((AF57-AJ$15)/AJ$16)*AJ$18+AJ$17,1))</f>
        <v>5</v>
      </c>
      <c r="AH57" s="12"/>
    </row>
    <row r="58" customFormat="false" ht="15" hidden="false" customHeight="true" outlineLevel="0" collapsed="false">
      <c r="A58" s="5" t="s">
        <v>79</v>
      </c>
      <c r="B58" s="5" t="s">
        <v>132</v>
      </c>
      <c r="C58" s="6" t="n">
        <f aca="false">IFERROR(ROUND(MAX(0,AVERAGE(F58,H58,J58,L58,N58)),1),"")</f>
        <v>6.8</v>
      </c>
      <c r="D58" s="7" t="n">
        <f aca="false">COUNT(E58,G58,I58,K58,M58)</f>
        <v>4</v>
      </c>
      <c r="E58" s="13" t="n">
        <v>14</v>
      </c>
      <c r="F58" s="6" t="n">
        <f aca="false">IF(E58="","",ROUND(((E58-Q$7)/Q$8)*Q$18+Q$17,1))</f>
        <v>12.7</v>
      </c>
      <c r="G58" s="13"/>
      <c r="H58" s="6" t="str">
        <f aca="false">IF(G58="","",ROUND(((G58-Q$9)/Q$10)*Q$18+Q$17,1))</f>
        <v/>
      </c>
      <c r="I58" s="17" t="n">
        <v>2</v>
      </c>
      <c r="J58" s="6" t="n">
        <f aca="false">IF(I58="","",ROUND(((I58-Q$11)/Q$12)*Q$18+Q$17,1))</f>
        <v>-2.9</v>
      </c>
      <c r="K58" s="13" t="n">
        <v>519</v>
      </c>
      <c r="L58" s="6" t="n">
        <f aca="false">IF(K58="","",ROUND(((K58-Q$13)/Q$14)*Q$18+Q$17,1))</f>
        <v>12.5</v>
      </c>
      <c r="M58" s="13" t="n">
        <v>5</v>
      </c>
      <c r="N58" s="6" t="n">
        <f aca="false">IF(M58="","",ROUND(((M58-Q$15)/Q$16)*Q$18+Q$17,1))</f>
        <v>5</v>
      </c>
      <c r="O58" s="12"/>
      <c r="T58" s="5" t="s">
        <v>79</v>
      </c>
      <c r="U58" s="5" t="s">
        <v>133</v>
      </c>
      <c r="V58" s="6" t="n">
        <f aca="false">IFERROR(MIN(ROUND(MAX(0,AVERAGE(Y58,AA58,AC58,AE58,AG58)),1),6.4),"")</f>
        <v>6.4</v>
      </c>
      <c r="W58" s="7" t="n">
        <f aca="false">COUNT(X58,Z58,AB58,AD58,AF58)</f>
        <v>3</v>
      </c>
      <c r="X58" s="13" t="n">
        <v>7</v>
      </c>
      <c r="Y58" s="6" t="n">
        <f aca="false">IF(X58="","",ROUND(((X58-AJ$7)/AJ$8)*AJ$18+AJ$17,1))</f>
        <v>7.4</v>
      </c>
      <c r="Z58" s="13"/>
      <c r="AA58" s="6" t="str">
        <f aca="false">IF(Z58="","",ROUND(((Z58-AJ$9)/AJ$10)*AJ$18+AJ$17,1))</f>
        <v/>
      </c>
      <c r="AB58" s="13"/>
      <c r="AC58" s="6" t="str">
        <f aca="false">IF(AB58="","",ROUND(((AB58-AJ$11)/AJ$12)*AJ$18+AJ$17,1))</f>
        <v/>
      </c>
      <c r="AD58" s="17" t="n">
        <v>184</v>
      </c>
      <c r="AE58" s="6" t="n">
        <f aca="false">IF(AD58="","",ROUND(((AD58-AJ$13)/AJ$14)*AJ$18+AJ$17,1))</f>
        <v>4.8</v>
      </c>
      <c r="AF58" s="13" t="n">
        <v>7</v>
      </c>
      <c r="AG58" s="6" t="n">
        <f aca="false">IF(AF58="","",ROUND(((AF58-AJ$15)/AJ$16)*AJ$18+AJ$17,1))</f>
        <v>7</v>
      </c>
      <c r="AH58" s="12"/>
    </row>
    <row r="59" customFormat="false" ht="15" hidden="false" customHeight="true" outlineLevel="0" collapsed="false">
      <c r="A59" s="5" t="s">
        <v>79</v>
      </c>
      <c r="B59" s="5" t="s">
        <v>134</v>
      </c>
      <c r="C59" s="6" t="n">
        <f aca="false">IFERROR(ROUND(MAX(0,AVERAGE(F59,H59,J59,L59,N59)),1),"")</f>
        <v>6.8</v>
      </c>
      <c r="D59" s="7" t="n">
        <f aca="false">COUNT(E59,G59,I59,K59,M59)</f>
        <v>3</v>
      </c>
      <c r="E59" s="13" t="n">
        <v>8</v>
      </c>
      <c r="F59" s="6" t="n">
        <f aca="false">IF(E59="","",ROUND(((E59-Q$7)/Q$8)*Q$18+Q$17,1))</f>
        <v>7.6</v>
      </c>
      <c r="G59" s="13"/>
      <c r="H59" s="6" t="str">
        <f aca="false">IF(G59="","",ROUND(((G59-Q$9)/Q$10)*Q$18+Q$17,1))</f>
        <v/>
      </c>
      <c r="I59" s="13"/>
      <c r="J59" s="6" t="str">
        <f aca="false">IF(I59="","",ROUND(((I59-Q$11)/Q$12)*Q$18+Q$17,1))</f>
        <v/>
      </c>
      <c r="K59" s="13" t="n">
        <v>226</v>
      </c>
      <c r="L59" s="6" t="n">
        <f aca="false">IF(K59="","",ROUND(((K59-Q$13)/Q$14)*Q$18+Q$17,1))</f>
        <v>5.8</v>
      </c>
      <c r="M59" s="13" t="n">
        <v>7</v>
      </c>
      <c r="N59" s="6" t="n">
        <f aca="false">IF(M59="","",ROUND(((M59-Q$15)/Q$16)*Q$18+Q$17,1))</f>
        <v>7</v>
      </c>
      <c r="O59" s="12"/>
      <c r="T59" s="5" t="s">
        <v>79</v>
      </c>
      <c r="U59" s="5" t="s">
        <v>135</v>
      </c>
      <c r="V59" s="6" t="n">
        <f aca="false">IFERROR(MIN(ROUND(MAX(0,AVERAGE(Y59,AA59,AC59,AE59,AG59)),1),6),"")</f>
        <v>5.7</v>
      </c>
      <c r="W59" s="7" t="n">
        <f aca="false">COUNT(X59,Z59,AB59,AD59,AF59)</f>
        <v>4</v>
      </c>
      <c r="X59" s="13" t="n">
        <v>8</v>
      </c>
      <c r="Y59" s="6" t="n">
        <f aca="false">IF(X59="","",ROUND(((X59-AJ$7)/AJ$8)*AJ$18+AJ$17,1))</f>
        <v>8.3</v>
      </c>
      <c r="Z59" s="13"/>
      <c r="AA59" s="6" t="str">
        <f aca="false">IF(Z59="","",ROUND(((Z59-AJ$9)/AJ$10)*AJ$18+AJ$17,1))</f>
        <v/>
      </c>
      <c r="AB59" s="13" t="n">
        <v>1.7</v>
      </c>
      <c r="AC59" s="6" t="n">
        <f aca="false">IF(AB59="","",ROUND(((AB59-AJ$11)/AJ$12)*AJ$18+AJ$17,1))</f>
        <v>-2.1</v>
      </c>
      <c r="AD59" s="17" t="n">
        <v>430.2</v>
      </c>
      <c r="AE59" s="6" t="n">
        <f aca="false">IF(AD59="","",ROUND(((AD59-AJ$13)/AJ$14)*AJ$18+AJ$17,1))</f>
        <v>10.4</v>
      </c>
      <c r="AF59" s="13" t="n">
        <v>6</v>
      </c>
      <c r="AG59" s="6" t="n">
        <f aca="false">IF(AF59="","",ROUND(((AF59-AJ$15)/AJ$16)*AJ$18+AJ$17,1))</f>
        <v>6</v>
      </c>
      <c r="AH59" s="12"/>
    </row>
    <row r="60" customFormat="false" ht="15" hidden="false" customHeight="true" outlineLevel="0" collapsed="false">
      <c r="A60" s="5" t="s">
        <v>79</v>
      </c>
      <c r="B60" s="5" t="s">
        <v>133</v>
      </c>
      <c r="C60" s="6" t="n">
        <f aca="false">IFERROR(ROUND(MAX(0,AVERAGE(F60,H60,J60,L60,N60)),1),"")</f>
        <v>6.5</v>
      </c>
      <c r="D60" s="7" t="n">
        <f aca="false">COUNT(E60,G60,I60,K60,M60)</f>
        <v>3</v>
      </c>
      <c r="E60" s="13" t="n">
        <v>8</v>
      </c>
      <c r="F60" s="6" t="n">
        <f aca="false">IF(E60="","",ROUND(((E60-Q$7)/Q$8)*Q$18+Q$17,1))</f>
        <v>7.6</v>
      </c>
      <c r="G60" s="13"/>
      <c r="H60" s="6" t="str">
        <f aca="false">IF(G60="","",ROUND(((G60-Q$9)/Q$10)*Q$18+Q$17,1))</f>
        <v/>
      </c>
      <c r="I60" s="13"/>
      <c r="J60" s="6" t="str">
        <f aca="false">IF(I60="","",ROUND(((I60-Q$11)/Q$12)*Q$18+Q$17,1))</f>
        <v/>
      </c>
      <c r="K60" s="13" t="n">
        <v>184</v>
      </c>
      <c r="L60" s="6" t="n">
        <f aca="false">IF(K60="","",ROUND(((K60-Q$13)/Q$14)*Q$18+Q$17,1))</f>
        <v>4.8</v>
      </c>
      <c r="M60" s="13" t="n">
        <v>7</v>
      </c>
      <c r="N60" s="6" t="n">
        <f aca="false">IF(M60="","",ROUND(((M60-Q$15)/Q$16)*Q$18+Q$17,1))</f>
        <v>7</v>
      </c>
      <c r="O60" s="12"/>
      <c r="T60" s="5" t="s">
        <v>79</v>
      </c>
      <c r="U60" s="5" t="s">
        <v>136</v>
      </c>
      <c r="V60" s="6" t="n">
        <f aca="false">IFERROR(MIN(ROUND(MAX(0,AVERAGE(Y60,AA60,AC60,AE60,AG60)),1),5.6),"")</f>
        <v>5.6</v>
      </c>
      <c r="W60" s="7" t="n">
        <f aca="false">COUNT(X60,Z60,AB60,AD60,AF60)</f>
        <v>4</v>
      </c>
      <c r="X60" s="13" t="n">
        <v>9</v>
      </c>
      <c r="Y60" s="6" t="n">
        <f aca="false">IF(X60="","",ROUND(((X60-AJ$7)/AJ$8)*AJ$18+AJ$17,1))</f>
        <v>9.1</v>
      </c>
      <c r="Z60" s="13"/>
      <c r="AA60" s="6" t="str">
        <f aca="false">IF(Z60="","",ROUND(((Z60-AJ$9)/AJ$10)*AJ$18+AJ$17,1))</f>
        <v/>
      </c>
      <c r="AB60" s="13" t="n">
        <v>3.7</v>
      </c>
      <c r="AC60" s="6" t="n">
        <f aca="false">IF(AB60="","",ROUND(((AB60-AJ$11)/AJ$12)*AJ$18+AJ$17,1))</f>
        <v>0.1</v>
      </c>
      <c r="AD60" s="17" t="n">
        <v>208</v>
      </c>
      <c r="AE60" s="6" t="n">
        <f aca="false">IF(AD60="","",ROUND(((AD60-AJ$13)/AJ$14)*AJ$18+AJ$17,1))</f>
        <v>5.4</v>
      </c>
      <c r="AF60" s="13" t="n">
        <v>9</v>
      </c>
      <c r="AG60" s="6" t="n">
        <f aca="false">IF(AF60="","",ROUND(((AF60-AJ$15)/AJ$16)*AJ$18+AJ$17,1))</f>
        <v>9</v>
      </c>
      <c r="AH60" s="12"/>
    </row>
    <row r="61" customFormat="false" ht="15" hidden="false" customHeight="true" outlineLevel="0" collapsed="false">
      <c r="A61" s="5" t="s">
        <v>79</v>
      </c>
      <c r="B61" s="5" t="s">
        <v>135</v>
      </c>
      <c r="C61" s="6" t="n">
        <f aca="false">IFERROR(ROUND(MAX(0,AVERAGE(F61,H61,J61,L61,N61)),1),"")</f>
        <v>6.1</v>
      </c>
      <c r="D61" s="7" t="n">
        <f aca="false">COUNT(E61,G61,I61,K61,M61)</f>
        <v>4</v>
      </c>
      <c r="E61" s="13" t="n">
        <v>9</v>
      </c>
      <c r="F61" s="6" t="n">
        <f aca="false">IF(E61="","",ROUND(((E61-Q$7)/Q$8)*Q$18+Q$17,1))</f>
        <v>8.5</v>
      </c>
      <c r="G61" s="13"/>
      <c r="H61" s="6" t="str">
        <f aca="false">IF(G61="","",ROUND(((G61-Q$9)/Q$10)*Q$18+Q$17,1))</f>
        <v/>
      </c>
      <c r="I61" s="17" t="n">
        <v>1.9</v>
      </c>
      <c r="J61" s="6" t="n">
        <f aca="false">IF(I61="","",ROUND(((I61-Q$11)/Q$12)*Q$18+Q$17,1))</f>
        <v>-3</v>
      </c>
      <c r="K61" s="13" t="n">
        <v>484</v>
      </c>
      <c r="L61" s="6" t="n">
        <f aca="false">IF(K61="","",ROUND(((K61-Q$13)/Q$14)*Q$18+Q$17,1))</f>
        <v>11.7</v>
      </c>
      <c r="M61" s="13" t="n">
        <v>7</v>
      </c>
      <c r="N61" s="6" t="n">
        <f aca="false">IF(M61="","",ROUND(((M61-Q$15)/Q$16)*Q$18+Q$17,1))</f>
        <v>7</v>
      </c>
      <c r="O61" s="12"/>
      <c r="T61" s="5" t="s">
        <v>79</v>
      </c>
      <c r="U61" s="5" t="s">
        <v>137</v>
      </c>
      <c r="V61" s="6" t="n">
        <f aca="false">IFERROR(MIN(ROUND(MAX(0,AVERAGE(Y61,AA61,AC61,AE61,AG61)),1),3.8),"")</f>
        <v>3.8</v>
      </c>
      <c r="W61" s="7" t="n">
        <f aca="false">COUNT(X61,Z61,AB61,AD61,AF61)</f>
        <v>3</v>
      </c>
      <c r="X61" s="13" t="n">
        <v>4</v>
      </c>
      <c r="Y61" s="6" t="n">
        <f aca="false">IF(X61="","",ROUND(((X61-AJ$7)/AJ$8)*AJ$18+AJ$17,1))</f>
        <v>4.9</v>
      </c>
      <c r="Z61" s="13"/>
      <c r="AA61" s="6" t="str">
        <f aca="false">IF(Z61="","",ROUND(((Z61-AJ$9)/AJ$10)*AJ$18+AJ$17,1))</f>
        <v/>
      </c>
      <c r="AB61" s="13"/>
      <c r="AC61" s="6" t="str">
        <f aca="false">IF(AB61="","",ROUND(((AB61-AJ$11)/AJ$12)*AJ$18+AJ$17,1))</f>
        <v/>
      </c>
      <c r="AD61" s="17" t="n">
        <v>166</v>
      </c>
      <c r="AE61" s="6" t="n">
        <f aca="false">IF(AD61="","",ROUND(((AD61-AJ$13)/AJ$14)*AJ$18+AJ$17,1))</f>
        <v>4.4</v>
      </c>
      <c r="AF61" s="13" t="n">
        <v>2</v>
      </c>
      <c r="AG61" s="6" t="n">
        <f aca="false">IF(AF61="","",ROUND(((AF61-AJ$15)/AJ$16)*AJ$18+AJ$17,1))</f>
        <v>2</v>
      </c>
      <c r="AH61" s="12"/>
    </row>
    <row r="62" customFormat="false" ht="15" hidden="false" customHeight="true" outlineLevel="0" collapsed="false">
      <c r="A62" s="5" t="s">
        <v>79</v>
      </c>
      <c r="B62" s="5" t="s">
        <v>136</v>
      </c>
      <c r="C62" s="6" t="n">
        <f aca="false">IFERROR(ROUND(MAX(0,AVERAGE(F62,H62,J62,L62,N62)),1),"")</f>
        <v>5.7</v>
      </c>
      <c r="D62" s="7" t="n">
        <f aca="false">COUNT(E62,G62,I62,K62,M62)</f>
        <v>4</v>
      </c>
      <c r="E62" s="13" t="n">
        <v>10</v>
      </c>
      <c r="F62" s="6" t="n">
        <f aca="false">IF(E62="","",ROUND(((E62-Q$7)/Q$8)*Q$18+Q$17,1))</f>
        <v>9.3</v>
      </c>
      <c r="G62" s="13"/>
      <c r="H62" s="6" t="str">
        <f aca="false">IF(G62="","",ROUND(((G62-Q$9)/Q$10)*Q$18+Q$17,1))</f>
        <v/>
      </c>
      <c r="I62" s="17" t="n">
        <v>3.7</v>
      </c>
      <c r="J62" s="6" t="n">
        <f aca="false">IF(I62="","",ROUND(((I62-Q$11)/Q$12)*Q$18+Q$17,1))</f>
        <v>-1.1</v>
      </c>
      <c r="K62" s="13" t="n">
        <v>208</v>
      </c>
      <c r="L62" s="6" t="n">
        <f aca="false">IF(K62="","",ROUND(((K62-Q$13)/Q$14)*Q$18+Q$17,1))</f>
        <v>5.4</v>
      </c>
      <c r="M62" s="13" t="n">
        <v>9</v>
      </c>
      <c r="N62" s="6" t="n">
        <f aca="false">IF(M62="","",ROUND(((M62-Q$15)/Q$16)*Q$18+Q$17,1))</f>
        <v>9</v>
      </c>
      <c r="O62" s="12"/>
      <c r="T62" s="5" t="s">
        <v>79</v>
      </c>
      <c r="U62" s="5" t="s">
        <v>138</v>
      </c>
      <c r="V62" s="6" t="n">
        <f aca="false">IFERROR(MIN(ROUND(MAX(0,AVERAGE(Y62,AA62,AC62,AE62,AG62)),1),3.7),"")</f>
        <v>3.6</v>
      </c>
      <c r="W62" s="7" t="n">
        <f aca="false">COUNT(X62,Z62,AB62,AD62,AF62)</f>
        <v>3</v>
      </c>
      <c r="X62" s="13" t="n">
        <v>5</v>
      </c>
      <c r="Y62" s="6" t="n">
        <f aca="false">IF(X62="","",ROUND(((X62-AJ$7)/AJ$8)*AJ$18+AJ$17,1))</f>
        <v>5.7</v>
      </c>
      <c r="Z62" s="13"/>
      <c r="AA62" s="6" t="str">
        <f aca="false">IF(Z62="","",ROUND(((Z62-AJ$9)/AJ$10)*AJ$18+AJ$17,1))</f>
        <v/>
      </c>
      <c r="AB62" s="13"/>
      <c r="AC62" s="6" t="str">
        <f aca="false">IF(AB62="","",ROUND(((AB62-AJ$11)/AJ$12)*AJ$18+AJ$17,1))</f>
        <v/>
      </c>
      <c r="AD62" s="17" t="n">
        <v>158</v>
      </c>
      <c r="AE62" s="6" t="n">
        <f aca="false">IF(AD62="","",ROUND(((AD62-AJ$13)/AJ$14)*AJ$18+AJ$17,1))</f>
        <v>4.2</v>
      </c>
      <c r="AF62" s="13" t="n">
        <v>1</v>
      </c>
      <c r="AG62" s="6" t="n">
        <f aca="false">IF(AF62="","",ROUND(((AF62-AJ$15)/AJ$16)*AJ$18+AJ$17,1))</f>
        <v>1</v>
      </c>
      <c r="AH62" s="12"/>
    </row>
    <row r="63" customFormat="false" ht="15" hidden="false" customHeight="true" outlineLevel="0" collapsed="false">
      <c r="A63" s="5" t="s">
        <v>79</v>
      </c>
      <c r="B63" s="5" t="s">
        <v>137</v>
      </c>
      <c r="C63" s="6" t="n">
        <f aca="false">IFERROR(ROUND(MAX(0,AVERAGE(F63,H63,J63,L63,N63)),1),"")</f>
        <v>3.8</v>
      </c>
      <c r="D63" s="7" t="n">
        <f aca="false">COUNT(E63,G63,I63,K63,M63)</f>
        <v>3</v>
      </c>
      <c r="E63" s="13" t="n">
        <v>5</v>
      </c>
      <c r="F63" s="6" t="n">
        <f aca="false">IF(E63="","",ROUND(((E63-Q$7)/Q$8)*Q$18+Q$17,1))</f>
        <v>5.1</v>
      </c>
      <c r="G63" s="13"/>
      <c r="H63" s="6" t="str">
        <f aca="false">IF(G63="","",ROUND(((G63-Q$9)/Q$10)*Q$18+Q$17,1))</f>
        <v/>
      </c>
      <c r="I63" s="13"/>
      <c r="J63" s="6" t="str">
        <f aca="false">IF(I63="","",ROUND(((I63-Q$11)/Q$12)*Q$18+Q$17,1))</f>
        <v/>
      </c>
      <c r="K63" s="13" t="n">
        <v>166</v>
      </c>
      <c r="L63" s="6" t="n">
        <f aca="false">IF(K63="","",ROUND(((K63-Q$13)/Q$14)*Q$18+Q$17,1))</f>
        <v>4.4</v>
      </c>
      <c r="M63" s="13" t="n">
        <v>2</v>
      </c>
      <c r="N63" s="6" t="n">
        <f aca="false">IF(M63="","",ROUND(((M63-Q$15)/Q$16)*Q$18+Q$17,1))</f>
        <v>2</v>
      </c>
      <c r="O63" s="12"/>
      <c r="T63" s="5" t="s">
        <v>79</v>
      </c>
      <c r="U63" s="5" t="s">
        <v>139</v>
      </c>
      <c r="V63" s="6" t="n">
        <f aca="false">IFERROR(MIN(ROUND(MAX(0,AVERAGE(Y63,AA63,AC63,AE63,AG63)),1),2.1),"")</f>
        <v>2.1</v>
      </c>
      <c r="W63" s="7" t="n">
        <f aca="false">COUNT(X63,Z63,AB63,AD63,AF63)</f>
        <v>3</v>
      </c>
      <c r="X63" s="13" t="n">
        <v>2</v>
      </c>
      <c r="Y63" s="6" t="n">
        <f aca="false">IF(X63="","",ROUND(((X63-AJ$7)/AJ$8)*AJ$18+AJ$17,1))</f>
        <v>3.2</v>
      </c>
      <c r="Z63" s="13"/>
      <c r="AA63" s="6" t="str">
        <f aca="false">IF(Z63="","",ROUND(((Z63-AJ$9)/AJ$10)*AJ$18+AJ$17,1))</f>
        <v/>
      </c>
      <c r="AB63" s="13" t="n">
        <v>1</v>
      </c>
      <c r="AC63" s="6" t="n">
        <f aca="false">IF(AB63="","",ROUND(((AB63-AJ$11)/AJ$12)*AJ$18+AJ$17,1))</f>
        <v>-2.9</v>
      </c>
      <c r="AD63" s="13"/>
      <c r="AE63" s="6" t="str">
        <f aca="false">IF(AD63="","",ROUND(((AD63-AJ$13)/AJ$14)*AJ$18+AJ$17,1))</f>
        <v/>
      </c>
      <c r="AF63" s="13" t="n">
        <v>6</v>
      </c>
      <c r="AG63" s="6" t="n">
        <f aca="false">IF(AF63="","",ROUND(((AF63-AJ$15)/AJ$16)*AJ$18+AJ$17,1))</f>
        <v>6</v>
      </c>
      <c r="AH63" s="12"/>
    </row>
    <row r="64" customFormat="false" ht="15" hidden="false" customHeight="true" outlineLevel="0" collapsed="false">
      <c r="A64" s="5" t="s">
        <v>79</v>
      </c>
      <c r="B64" s="5" t="s">
        <v>138</v>
      </c>
      <c r="C64" s="6" t="n">
        <f aca="false">IFERROR(ROUND(MAX(0,AVERAGE(F64,H64,J64,L64,N64)),1),"")</f>
        <v>3.7</v>
      </c>
      <c r="D64" s="7" t="n">
        <f aca="false">COUNT(E64,G64,I64,K64,M64)</f>
        <v>3</v>
      </c>
      <c r="E64" s="13" t="n">
        <v>6</v>
      </c>
      <c r="F64" s="6" t="n">
        <f aca="false">IF(E64="","",ROUND(((E64-Q$7)/Q$8)*Q$18+Q$17,1))</f>
        <v>5.9</v>
      </c>
      <c r="G64" s="13"/>
      <c r="H64" s="6" t="str">
        <f aca="false">IF(G64="","",ROUND(((G64-Q$9)/Q$10)*Q$18+Q$17,1))</f>
        <v/>
      </c>
      <c r="I64" s="13"/>
      <c r="J64" s="6" t="str">
        <f aca="false">IF(I64="","",ROUND(((I64-Q$11)/Q$12)*Q$18+Q$17,1))</f>
        <v/>
      </c>
      <c r="K64" s="13" t="n">
        <v>158</v>
      </c>
      <c r="L64" s="6" t="n">
        <f aca="false">IF(K64="","",ROUND(((K64-Q$13)/Q$14)*Q$18+Q$17,1))</f>
        <v>4.2</v>
      </c>
      <c r="M64" s="13" t="n">
        <v>1</v>
      </c>
      <c r="N64" s="6" t="n">
        <f aca="false">IF(M64="","",ROUND(((M64-Q$15)/Q$16)*Q$18+Q$17,1))</f>
        <v>1</v>
      </c>
      <c r="O64" s="12"/>
    </row>
    <row r="65" customFormat="false" ht="15" hidden="false" customHeight="true" outlineLevel="0" collapsed="false">
      <c r="A65" s="5" t="s">
        <v>79</v>
      </c>
      <c r="B65" s="5" t="s">
        <v>139</v>
      </c>
      <c r="C65" s="6" t="n">
        <f aca="false">IFERROR(ROUND(MAX(0,AVERAGE(F65,H65,J65,L65,N65)),1),"")</f>
        <v>2.2</v>
      </c>
      <c r="D65" s="7" t="n">
        <f aca="false">COUNT(E65,G65,I65,K65,M65)</f>
        <v>3</v>
      </c>
      <c r="E65" s="13" t="n">
        <v>3</v>
      </c>
      <c r="F65" s="6" t="n">
        <f aca="false">IF(E65="","",ROUND(((E65-Q$7)/Q$8)*Q$18+Q$17,1))</f>
        <v>3.4</v>
      </c>
      <c r="G65" s="13"/>
      <c r="H65" s="6" t="str">
        <f aca="false">IF(G65="","",ROUND(((G65-Q$9)/Q$10)*Q$18+Q$17,1))</f>
        <v/>
      </c>
      <c r="I65" s="17" t="n">
        <v>1.2</v>
      </c>
      <c r="J65" s="6" t="n">
        <f aca="false">IF(I65="","",ROUND(((I65-Q$11)/Q$12)*Q$18+Q$17,1))</f>
        <v>-3.8</v>
      </c>
      <c r="K65" s="13"/>
      <c r="L65" s="6" t="str">
        <f aca="false">IF(K65="","",ROUND(((K65-Q$13)/Q$14)*Q$18+Q$17,1))</f>
        <v/>
      </c>
      <c r="M65" s="13" t="n">
        <v>7</v>
      </c>
      <c r="N65" s="6" t="n">
        <f aca="false">IF(M65="","",ROUND(((M65-Q$15)/Q$16)*Q$18+Q$17,1))</f>
        <v>7</v>
      </c>
      <c r="O6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8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4"/>
    <col collapsed="false" customWidth="true" hidden="false" outlineLevel="0" max="3" min="3" style="1" width="16"/>
    <col collapsed="false" customWidth="true" hidden="false" outlineLevel="0" max="4" min="4" style="1" width="10"/>
    <col collapsed="false" customWidth="true" hidden="false" outlineLevel="0" max="14" min="5" style="1" width="9"/>
    <col collapsed="false" customWidth="true" hidden="false" outlineLevel="0" max="15" min="15" style="1" width="4"/>
    <col collapsed="false" customWidth="true" hidden="false" outlineLevel="0" max="16" min="16" style="1" width="26"/>
    <col collapsed="false" customWidth="true" hidden="false" outlineLevel="0" max="17" min="17" style="1" width="9"/>
    <col collapsed="false" customWidth="true" hidden="false" outlineLevel="0" max="20" min="20" style="1" width="6"/>
    <col collapsed="false" customWidth="true" hidden="false" outlineLevel="0" max="21" min="21" style="1" width="24"/>
    <col collapsed="false" customWidth="true" hidden="false" outlineLevel="0" max="22" min="22" style="1" width="16"/>
    <col collapsed="false" customWidth="true" hidden="false" outlineLevel="0" max="23" min="23" style="1" width="10"/>
    <col collapsed="false" customWidth="true" hidden="false" outlineLevel="0" max="33" min="24" style="1" width="9"/>
    <col collapsed="false" customWidth="true" hidden="false" outlineLevel="0" max="34" min="34" style="1" width="4"/>
    <col collapsed="false" customWidth="true" hidden="false" outlineLevel="0" max="35" min="35" style="1" width="26"/>
    <col collapsed="false" customWidth="true" hidden="false" outlineLevel="0" max="36" min="36" style="1" width="9"/>
    <col collapsed="false" customWidth="true" hidden="false" outlineLevel="0" max="39" min="39" style="1" width="6"/>
    <col collapsed="false" customWidth="true" hidden="false" outlineLevel="0" max="40" min="40" style="1" width="24"/>
    <col collapsed="false" customWidth="true" hidden="false" outlineLevel="0" max="41" min="41" style="1" width="16"/>
    <col collapsed="false" customWidth="true" hidden="false" outlineLevel="0" max="42" min="42" style="1" width="10"/>
    <col collapsed="false" customWidth="true" hidden="false" outlineLevel="0" max="52" min="43" style="1" width="9"/>
    <col collapsed="false" customWidth="true" hidden="false" outlineLevel="0" max="53" min="53" style="1" width="4"/>
    <col collapsed="false" customWidth="true" hidden="false" outlineLevel="0" max="54" min="54" style="1" width="26"/>
    <col collapsed="false" customWidth="true" hidden="false" outlineLevel="0" max="55" min="55" style="1" width="9"/>
  </cols>
  <sheetData>
    <row r="1" customFormat="false" ht="17.25" hidden="false" customHeight="true" outlineLevel="0" collapsed="false">
      <c r="A1" s="2" t="s">
        <v>140</v>
      </c>
      <c r="P1" s="9" t="s">
        <v>14</v>
      </c>
      <c r="T1" s="2" t="s">
        <v>141</v>
      </c>
      <c r="AI1" s="9" t="s">
        <v>14</v>
      </c>
      <c r="AM1" s="2" t="s">
        <v>142</v>
      </c>
      <c r="BB1" s="9" t="s">
        <v>14</v>
      </c>
    </row>
    <row r="2" customFormat="false" ht="15" hidden="false" customHeight="true" outlineLevel="0" collapsed="false">
      <c r="A2" s="10" t="s">
        <v>77</v>
      </c>
      <c r="T2" s="10" t="s">
        <v>77</v>
      </c>
      <c r="AM2" s="10" t="s">
        <v>78</v>
      </c>
    </row>
    <row r="5" customFormat="false" ht="26.25" hidden="false" customHeight="true" outlineLevel="0" collapsed="false">
      <c r="A5" s="11" t="s">
        <v>17</v>
      </c>
      <c r="B5" s="11" t="s">
        <v>3</v>
      </c>
      <c r="C5" s="11" t="s">
        <v>18</v>
      </c>
      <c r="D5" s="11" t="s">
        <v>5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2"/>
      <c r="T5" s="11" t="s">
        <v>17</v>
      </c>
      <c r="U5" s="11" t="s">
        <v>3</v>
      </c>
      <c r="V5" s="11" t="s">
        <v>18</v>
      </c>
      <c r="W5" s="11" t="s">
        <v>5</v>
      </c>
      <c r="X5" s="11" t="s">
        <v>19</v>
      </c>
      <c r="Y5" s="11" t="s">
        <v>20</v>
      </c>
      <c r="Z5" s="11" t="s">
        <v>21</v>
      </c>
      <c r="AA5" s="11" t="s">
        <v>22</v>
      </c>
      <c r="AB5" s="11" t="s">
        <v>23</v>
      </c>
      <c r="AC5" s="11" t="s">
        <v>24</v>
      </c>
      <c r="AD5" s="11" t="s">
        <v>25</v>
      </c>
      <c r="AE5" s="11" t="s">
        <v>26</v>
      </c>
      <c r="AF5" s="11" t="s">
        <v>27</v>
      </c>
      <c r="AG5" s="11" t="s">
        <v>28</v>
      </c>
      <c r="AH5" s="12"/>
      <c r="AM5" s="11" t="s">
        <v>17</v>
      </c>
      <c r="AN5" s="11" t="s">
        <v>3</v>
      </c>
      <c r="AO5" s="11" t="s">
        <v>18</v>
      </c>
      <c r="AP5" s="11" t="s">
        <v>5</v>
      </c>
      <c r="AQ5" s="11" t="s">
        <v>21</v>
      </c>
      <c r="AR5" s="11" t="s">
        <v>22</v>
      </c>
      <c r="AS5" s="11" t="s">
        <v>27</v>
      </c>
      <c r="AT5" s="11" t="s">
        <v>28</v>
      </c>
      <c r="BA5" s="12"/>
    </row>
    <row r="6" customFormat="false" ht="15" hidden="false" customHeight="true" outlineLevel="0" collapsed="false">
      <c r="A6" s="5" t="s">
        <v>143</v>
      </c>
      <c r="B6" s="5" t="s">
        <v>144</v>
      </c>
      <c r="C6" s="6" t="n">
        <f aca="false">IFERROR(ROUND(MAX(0,AVERAGE(F6,H6,J6,L6,N6)),1),"")</f>
        <v>76</v>
      </c>
      <c r="D6" s="7" t="n">
        <f aca="false">COUNT(E6,G6,I6,K6,M6)</f>
        <v>5</v>
      </c>
      <c r="E6" s="13" t="n">
        <v>85</v>
      </c>
      <c r="F6" s="6" t="n">
        <f aca="false">IF(E6="","",ROUND(((E6-Q$7)/Q$8)*Q$18+Q$17,1))</f>
        <v>76</v>
      </c>
      <c r="G6" s="13" t="n">
        <v>52</v>
      </c>
      <c r="H6" s="6" t="n">
        <f aca="false">IF(G6="","",ROUND(((G6-Q$9)/Q$10)*Q$18+Q$17,1))</f>
        <v>72.7</v>
      </c>
      <c r="I6" s="17" t="n">
        <v>59.4</v>
      </c>
      <c r="J6" s="6" t="n">
        <f aca="false">IF(I6="","",ROUND(((I6-Q$11)/Q$12)*Q$18+Q$17,1))</f>
        <v>75.1</v>
      </c>
      <c r="K6" s="13" t="n">
        <v>3093</v>
      </c>
      <c r="L6" s="6" t="n">
        <f aca="false">IF(K6="","",ROUND(((K6-Q$13)/Q$14)*Q$18+Q$17,1))</f>
        <v>80</v>
      </c>
      <c r="M6" s="13" t="n">
        <v>76</v>
      </c>
      <c r="N6" s="6" t="n">
        <f aca="false">IF(M6="","",ROUND(((M6-Q$15)/Q$16)*Q$18+Q$17,1))</f>
        <v>76</v>
      </c>
      <c r="O6" s="12"/>
      <c r="T6" s="5" t="s">
        <v>143</v>
      </c>
      <c r="U6" s="5" t="s">
        <v>144</v>
      </c>
      <c r="V6" s="6" t="n">
        <f aca="false">IFERROR(MIN(ROUND(MAX(0,AVERAGE(Y6,AA6,AC6,AE6,AG6)),1),75.9),"")</f>
        <v>74.1</v>
      </c>
      <c r="W6" s="7" t="n">
        <f aca="false">COUNT(X6,Z6,AB6,AD6,AF6)</f>
        <v>5</v>
      </c>
      <c r="X6" s="13" t="n">
        <v>82</v>
      </c>
      <c r="Y6" s="6" t="n">
        <f aca="false">IF(X6="","",ROUND(((X6-AJ$7)/AJ$8)*AJ$18+AJ$17,1))</f>
        <v>74.2</v>
      </c>
      <c r="Z6" s="13" t="n">
        <v>50</v>
      </c>
      <c r="AA6" s="6" t="n">
        <f aca="false">IF(Z6="","",ROUND(((Z6-AJ$9)/AJ$10)*AJ$18+AJ$17,1))</f>
        <v>71.7</v>
      </c>
      <c r="AB6" s="13" t="n">
        <v>57.1</v>
      </c>
      <c r="AC6" s="6" t="n">
        <f aca="false">IF(AB6="","",ROUND(((AB6-AJ$11)/AJ$12)*AJ$18+AJ$17,1))</f>
        <v>74.6</v>
      </c>
      <c r="AD6" s="17" t="n">
        <v>2974</v>
      </c>
      <c r="AE6" s="6" t="n">
        <f aca="false">IF(AD6="","",ROUND(((AD6-AJ$13)/AJ$14)*AJ$18+AJ$17,1))</f>
        <v>76.8</v>
      </c>
      <c r="AF6" s="13" t="n">
        <v>73</v>
      </c>
      <c r="AG6" s="6" t="n">
        <f aca="false">IF(AF6="","",ROUND(((AF6-AJ$15)/AJ$16)*AJ$18+AJ$17,1))</f>
        <v>73</v>
      </c>
      <c r="AH6" s="12"/>
      <c r="AM6" s="5" t="s">
        <v>143</v>
      </c>
      <c r="AN6" s="5" t="s">
        <v>144</v>
      </c>
      <c r="AO6" s="6" t="n">
        <f aca="false">IFERROR(ROUND(MAX(0,AVERAGE(AR6,AT6)),1),"")</f>
        <v>53</v>
      </c>
      <c r="AP6" s="7" t="n">
        <f aca="false">COUNT(AQ6,AS6)</f>
        <v>2</v>
      </c>
      <c r="AQ6" s="13" t="n">
        <v>48</v>
      </c>
      <c r="AR6" s="6" t="n">
        <f aca="false">IF(AQ6="","",ROUND(((AQ6-BC$7)/BC$8)*BC$12+BC$11,1))</f>
        <v>55.1</v>
      </c>
      <c r="AS6" s="13" t="n">
        <v>71</v>
      </c>
      <c r="AT6" s="6" t="n">
        <f aca="false">IF(AS6="","",ROUND(((AS6-BC$9)/BC$10)*BC$12+BC$11,1))</f>
        <v>50.9</v>
      </c>
      <c r="AU6" s="14"/>
      <c r="AV6" s="14"/>
      <c r="AW6" s="14"/>
      <c r="AX6" s="14"/>
      <c r="AY6" s="14"/>
      <c r="AZ6" s="14"/>
      <c r="BA6" s="12"/>
    </row>
    <row r="7" customFormat="false" ht="15" hidden="false" customHeight="true" outlineLevel="0" collapsed="false">
      <c r="A7" s="5" t="s">
        <v>143</v>
      </c>
      <c r="B7" s="5" t="s">
        <v>145</v>
      </c>
      <c r="C7" s="6" t="n">
        <f aca="false">IFERROR(ROUND(MAX(0,AVERAGE(F7,H7,J7,L7,N7)),1),"")</f>
        <v>71.5</v>
      </c>
      <c r="D7" s="7" t="n">
        <f aca="false">COUNT(E7,G7,I7,K7,M7)</f>
        <v>5</v>
      </c>
      <c r="E7" s="13" t="n">
        <v>76</v>
      </c>
      <c r="F7" s="6" t="n">
        <f aca="false">IF(E7="","",ROUND(((E7-Q$7)/Q$8)*Q$18+Q$17,1))</f>
        <v>67.9</v>
      </c>
      <c r="G7" s="13" t="n">
        <v>48</v>
      </c>
      <c r="H7" s="6" t="n">
        <f aca="false">IF(G7="","",ROUND(((G7-Q$9)/Q$10)*Q$18+Q$17,1))</f>
        <v>66.5</v>
      </c>
      <c r="I7" s="17" t="n">
        <v>56.2</v>
      </c>
      <c r="J7" s="6" t="n">
        <f aca="false">IF(I7="","",ROUND(((I7-Q$11)/Q$12)*Q$18+Q$17,1))</f>
        <v>70.5</v>
      </c>
      <c r="K7" s="13" t="n">
        <v>2995</v>
      </c>
      <c r="L7" s="6" t="n">
        <f aca="false">IF(K7="","",ROUND(((K7-Q$13)/Q$14)*Q$18+Q$17,1))</f>
        <v>77.4</v>
      </c>
      <c r="M7" s="13" t="n">
        <v>75</v>
      </c>
      <c r="N7" s="6" t="n">
        <f aca="false">IF(M7="","",ROUND(((M7-Q$15)/Q$16)*Q$18+Q$17,1))</f>
        <v>75</v>
      </c>
      <c r="O7" s="12"/>
      <c r="P7" s="9" t="s">
        <v>32</v>
      </c>
      <c r="Q7" s="15" t="n">
        <f aca="false">IFERROR(AVERAGE(E6:E400),"")</f>
        <v>25.9047619047619</v>
      </c>
      <c r="T7" s="5" t="s">
        <v>143</v>
      </c>
      <c r="U7" s="5" t="s">
        <v>145</v>
      </c>
      <c r="V7" s="6" t="n">
        <f aca="false">IFERROR(MIN(ROUND(MAX(0,AVERAGE(Y7,AA7,AC7,AE7,AG7)),1),71.4),"")</f>
        <v>69.4</v>
      </c>
      <c r="W7" s="7" t="n">
        <f aca="false">COUNT(X7,Z7,AB7,AD7,AF7)</f>
        <v>5</v>
      </c>
      <c r="X7" s="13" t="n">
        <v>73</v>
      </c>
      <c r="Y7" s="6" t="n">
        <f aca="false">IF(X7="","",ROUND(((X7-AJ$7)/AJ$8)*AJ$18+AJ$17,1))</f>
        <v>66</v>
      </c>
      <c r="Z7" s="13" t="n">
        <v>45.5</v>
      </c>
      <c r="AA7" s="6" t="n">
        <f aca="false">IF(Z7="","",ROUND(((Z7-AJ$9)/AJ$10)*AJ$18+AJ$17,1))</f>
        <v>64.7</v>
      </c>
      <c r="AB7" s="13" t="n">
        <v>54</v>
      </c>
      <c r="AC7" s="6" t="n">
        <f aca="false">IF(AB7="","",ROUND(((AB7-AJ$11)/AJ$12)*AJ$18+AJ$17,1))</f>
        <v>70.1</v>
      </c>
      <c r="AD7" s="17" t="n">
        <v>2875.2</v>
      </c>
      <c r="AE7" s="6" t="n">
        <f aca="false">IF(AD7="","",ROUND(((AD7-AJ$13)/AJ$14)*AJ$18+AJ$17,1))</f>
        <v>74.2</v>
      </c>
      <c r="AF7" s="13" t="n">
        <v>72</v>
      </c>
      <c r="AG7" s="6" t="n">
        <f aca="false">IF(AF7="","",ROUND(((AF7-AJ$15)/AJ$16)*AJ$18+AJ$17,1))</f>
        <v>72</v>
      </c>
      <c r="AH7" s="12"/>
      <c r="AI7" s="9" t="s">
        <v>32</v>
      </c>
      <c r="AJ7" s="15" t="n">
        <f aca="false">IFERROR(AVERAGE(X6:X400),"")</f>
        <v>25.25</v>
      </c>
      <c r="AM7" s="5" t="s">
        <v>143</v>
      </c>
      <c r="AN7" s="5" t="s">
        <v>145</v>
      </c>
      <c r="AO7" s="6" t="n">
        <f aca="false">IFERROR(ROUND(MAX(0,AVERAGE(AR7,AT7)),1),"")</f>
        <v>49</v>
      </c>
      <c r="AP7" s="7" t="n">
        <f aca="false">COUNT(AQ7,AS7)</f>
        <v>2</v>
      </c>
      <c r="AQ7" s="13" t="n">
        <v>43</v>
      </c>
      <c r="AR7" s="6" t="n">
        <f aca="false">IF(AQ7="","",ROUND(((AQ7-BC$7)/BC$8)*BC$12+BC$11,1))</f>
        <v>48.9</v>
      </c>
      <c r="AS7" s="13" t="n">
        <v>69</v>
      </c>
      <c r="AT7" s="6" t="n">
        <f aca="false">IF(AS7="","",ROUND(((AS7-BC$9)/BC$10)*BC$12+BC$11,1))</f>
        <v>49</v>
      </c>
      <c r="AU7" s="14"/>
      <c r="AV7" s="14"/>
      <c r="AW7" s="14"/>
      <c r="AX7" s="14"/>
      <c r="AY7" s="14"/>
      <c r="AZ7" s="14"/>
      <c r="BA7" s="12"/>
      <c r="BB7" s="9" t="s">
        <v>36</v>
      </c>
      <c r="BC7" s="15" t="n">
        <f aca="false">IFERROR(AVERAGE(AQ6:AQ400),"")</f>
        <v>18.0243902439024</v>
      </c>
    </row>
    <row r="8" customFormat="false" ht="15" hidden="false" customHeight="true" outlineLevel="0" collapsed="false">
      <c r="A8" s="5" t="s">
        <v>143</v>
      </c>
      <c r="B8" s="5" t="s">
        <v>146</v>
      </c>
      <c r="C8" s="6" t="n">
        <f aca="false">IFERROR(ROUND(MAX(0,AVERAGE(F8,H8,J8,L8,N8)),1),"")</f>
        <v>69.7</v>
      </c>
      <c r="D8" s="7" t="n">
        <f aca="false">COUNT(E8,G8,I8,K8,M8)</f>
        <v>5</v>
      </c>
      <c r="E8" s="13" t="n">
        <v>76</v>
      </c>
      <c r="F8" s="6" t="n">
        <f aca="false">IF(E8="","",ROUND(((E8-Q$7)/Q$8)*Q$18+Q$17,1))</f>
        <v>67.9</v>
      </c>
      <c r="G8" s="13" t="n">
        <v>47</v>
      </c>
      <c r="H8" s="6" t="n">
        <f aca="false">IF(G8="","",ROUND(((G8-Q$9)/Q$10)*Q$18+Q$17,1))</f>
        <v>64.9</v>
      </c>
      <c r="I8" s="17" t="n">
        <v>57.2</v>
      </c>
      <c r="J8" s="6" t="n">
        <f aca="false">IF(I8="","",ROUND(((I8-Q$11)/Q$12)*Q$18+Q$17,1))</f>
        <v>71.9</v>
      </c>
      <c r="K8" s="13" t="n">
        <v>2898</v>
      </c>
      <c r="L8" s="6" t="n">
        <f aca="false">IF(K8="","",ROUND(((K8-Q$13)/Q$14)*Q$18+Q$17,1))</f>
        <v>74.9</v>
      </c>
      <c r="M8" s="13" t="n">
        <v>69</v>
      </c>
      <c r="N8" s="6" t="n">
        <f aca="false">IF(M8="","",ROUND(((M8-Q$15)/Q$16)*Q$18+Q$17,1))</f>
        <v>69</v>
      </c>
      <c r="O8" s="12"/>
      <c r="P8" s="9" t="s">
        <v>34</v>
      </c>
      <c r="Q8" s="16" t="n">
        <f aca="false">IFERROR(STDEVP(E6:E400),"")</f>
        <v>22.0651735113542</v>
      </c>
      <c r="T8" s="5" t="s">
        <v>143</v>
      </c>
      <c r="U8" s="5" t="s">
        <v>146</v>
      </c>
      <c r="V8" s="6" t="n">
        <f aca="false">IFERROR(MIN(ROUND(MAX(0,AVERAGE(Y8,AA8,AC8,AE8,AG8)),1),69.7),"")</f>
        <v>68.4</v>
      </c>
      <c r="W8" s="7" t="n">
        <f aca="false">COUNT(X8,Z8,AB8,AD8,AF8)</f>
        <v>5</v>
      </c>
      <c r="X8" s="13" t="n">
        <v>73</v>
      </c>
      <c r="Y8" s="6" t="n">
        <f aca="false">IF(X8="","",ROUND(((X8-AJ$7)/AJ$8)*AJ$18+AJ$17,1))</f>
        <v>66</v>
      </c>
      <c r="Z8" s="13" t="n">
        <v>45.5</v>
      </c>
      <c r="AA8" s="6" t="n">
        <f aca="false">IF(Z8="","",ROUND(((Z8-AJ$9)/AJ$10)*AJ$18+AJ$17,1))</f>
        <v>64.7</v>
      </c>
      <c r="AB8" s="13" t="n">
        <v>55.4</v>
      </c>
      <c r="AC8" s="6" t="n">
        <f aca="false">IF(AB8="","",ROUND(((AB8-AJ$11)/AJ$12)*AJ$18+AJ$17,1))</f>
        <v>72.1</v>
      </c>
      <c r="AD8" s="17" t="n">
        <v>2805.5</v>
      </c>
      <c r="AE8" s="6" t="n">
        <f aca="false">IF(AD8="","",ROUND(((AD8-AJ$13)/AJ$14)*AJ$18+AJ$17,1))</f>
        <v>72.3</v>
      </c>
      <c r="AF8" s="13" t="n">
        <v>67</v>
      </c>
      <c r="AG8" s="6" t="n">
        <f aca="false">IF(AF8="","",ROUND(((AF8-AJ$15)/AJ$16)*AJ$18+AJ$17,1))</f>
        <v>67</v>
      </c>
      <c r="AH8" s="12"/>
      <c r="AI8" s="9" t="s">
        <v>34</v>
      </c>
      <c r="AJ8" s="16" t="n">
        <f aca="false">IFERROR(STDEVP(X6:X400),"")</f>
        <v>21.182835032167</v>
      </c>
      <c r="AM8" s="5" t="s">
        <v>143</v>
      </c>
      <c r="AN8" s="5" t="s">
        <v>146</v>
      </c>
      <c r="AO8" s="6" t="n">
        <f aca="false">IFERROR(ROUND(MAX(0,AVERAGE(AR8,AT8)),1),"")</f>
        <v>47.7</v>
      </c>
      <c r="AP8" s="7" t="n">
        <f aca="false">COUNT(AQ8,AS8)</f>
        <v>2</v>
      </c>
      <c r="AQ8" s="13" t="n">
        <v>44</v>
      </c>
      <c r="AR8" s="6" t="n">
        <f aca="false">IF(AQ8="","",ROUND(((AQ8-BC$7)/BC$8)*BC$12+BC$11,1))</f>
        <v>50.2</v>
      </c>
      <c r="AS8" s="13" t="n">
        <v>65</v>
      </c>
      <c r="AT8" s="6" t="n">
        <f aca="false">IF(AS8="","",ROUND(((AS8-BC$9)/BC$10)*BC$12+BC$11,1))</f>
        <v>45.2</v>
      </c>
      <c r="AU8" s="14"/>
      <c r="AV8" s="14"/>
      <c r="AW8" s="14"/>
      <c r="AX8" s="14"/>
      <c r="AY8" s="14"/>
      <c r="AZ8" s="14"/>
      <c r="BA8" s="12"/>
      <c r="BB8" s="9" t="s">
        <v>38</v>
      </c>
      <c r="BC8" s="16" t="n">
        <f aca="false">IFERROR(STDEVP(AQ6:AQ400),"")</f>
        <v>11.8845827673935</v>
      </c>
    </row>
    <row r="9" customFormat="false" ht="15" hidden="false" customHeight="true" outlineLevel="0" collapsed="false">
      <c r="A9" s="5" t="s">
        <v>143</v>
      </c>
      <c r="B9" s="5" t="s">
        <v>147</v>
      </c>
      <c r="C9" s="6" t="n">
        <f aca="false">IFERROR(ROUND(MAX(0,AVERAGE(F9,H9,J9,L9,N9)),1),"")</f>
        <v>64.3</v>
      </c>
      <c r="D9" s="7" t="n">
        <f aca="false">COUNT(E9,G9,I9,K9,M9)</f>
        <v>5</v>
      </c>
      <c r="E9" s="13" t="n">
        <v>74</v>
      </c>
      <c r="F9" s="6" t="n">
        <f aca="false">IF(E9="","",ROUND(((E9-Q$7)/Q$8)*Q$18+Q$17,1))</f>
        <v>66</v>
      </c>
      <c r="G9" s="13" t="n">
        <v>41</v>
      </c>
      <c r="H9" s="6" t="n">
        <f aca="false">IF(G9="","",ROUND(((G9-Q$9)/Q$10)*Q$18+Q$17,1))</f>
        <v>55.6</v>
      </c>
      <c r="I9" s="17" t="n">
        <v>53.5</v>
      </c>
      <c r="J9" s="6" t="n">
        <f aca="false">IF(I9="","",ROUND(((I9-Q$11)/Q$12)*Q$18+Q$17,1))</f>
        <v>66.5</v>
      </c>
      <c r="K9" s="13" t="n">
        <v>2800</v>
      </c>
      <c r="L9" s="6" t="n">
        <f aca="false">IF(K9="","",ROUND(((K9-Q$13)/Q$14)*Q$18+Q$17,1))</f>
        <v>72.3</v>
      </c>
      <c r="M9" s="13" t="n">
        <v>61</v>
      </c>
      <c r="N9" s="6" t="n">
        <f aca="false">IF(M9="","",ROUND(((M9-Q$15)/Q$16)*Q$18+Q$17,1))</f>
        <v>61</v>
      </c>
      <c r="O9" s="12"/>
      <c r="P9" s="9" t="s">
        <v>36</v>
      </c>
      <c r="Q9" s="15" t="n">
        <f aca="false">IFERROR(AVERAGE(G6:G400),"")</f>
        <v>19.7272727272727</v>
      </c>
      <c r="T9" s="5" t="s">
        <v>143</v>
      </c>
      <c r="U9" s="5" t="s">
        <v>147</v>
      </c>
      <c r="V9" s="6" t="n">
        <f aca="false">IFERROR(MIN(ROUND(MAX(0,AVERAGE(Y9,AA9,AC9,AE9,AG9)),1),64.2),"")</f>
        <v>62.6</v>
      </c>
      <c r="W9" s="7" t="n">
        <f aca="false">COUNT(X9,Z9,AB9,AD9,AF9)</f>
        <v>5</v>
      </c>
      <c r="X9" s="13" t="n">
        <v>71</v>
      </c>
      <c r="Y9" s="6" t="n">
        <f aca="false">IF(X9="","",ROUND(((X9-AJ$7)/AJ$8)*AJ$18+AJ$17,1))</f>
        <v>64.2</v>
      </c>
      <c r="Z9" s="13" t="n">
        <v>39</v>
      </c>
      <c r="AA9" s="6" t="n">
        <f aca="false">IF(Z9="","",ROUND(((Z9-AJ$9)/AJ$10)*AJ$18+AJ$17,1))</f>
        <v>54.6</v>
      </c>
      <c r="AB9" s="13" t="n">
        <v>51.3</v>
      </c>
      <c r="AC9" s="6" t="n">
        <f aca="false">IF(AB9="","",ROUND(((AB9-AJ$11)/AJ$12)*AJ$18+AJ$17,1))</f>
        <v>66.2</v>
      </c>
      <c r="AD9" s="17" t="n">
        <v>2686.5</v>
      </c>
      <c r="AE9" s="6" t="n">
        <f aca="false">IF(AD9="","",ROUND(((AD9-AJ$13)/AJ$14)*AJ$18+AJ$17,1))</f>
        <v>69.2</v>
      </c>
      <c r="AF9" s="13" t="n">
        <v>59</v>
      </c>
      <c r="AG9" s="6" t="n">
        <f aca="false">IF(AF9="","",ROUND(((AF9-AJ$15)/AJ$16)*AJ$18+AJ$17,1))</f>
        <v>59</v>
      </c>
      <c r="AH9" s="12"/>
      <c r="AI9" s="9" t="s">
        <v>36</v>
      </c>
      <c r="AJ9" s="15" t="n">
        <f aca="false">IFERROR(AVERAGE(Z6:Z400),"")</f>
        <v>18.4363636363636</v>
      </c>
      <c r="AM9" s="5" t="s">
        <v>143</v>
      </c>
      <c r="AN9" s="5" t="s">
        <v>148</v>
      </c>
      <c r="AO9" s="6" t="n">
        <f aca="false">IFERROR(ROUND(MAX(0,AVERAGE(AR9,AT9)),1),"")</f>
        <v>41</v>
      </c>
      <c r="AP9" s="7" t="n">
        <f aca="false">COUNT(AQ9,AS9)</f>
        <v>2</v>
      </c>
      <c r="AQ9" s="13" t="n">
        <v>37</v>
      </c>
      <c r="AR9" s="6" t="n">
        <f aca="false">IF(AQ9="","",ROUND(((AQ9-BC$7)/BC$8)*BC$12+BC$11,1))</f>
        <v>41.5</v>
      </c>
      <c r="AS9" s="13" t="n">
        <v>60</v>
      </c>
      <c r="AT9" s="6" t="n">
        <f aca="false">IF(AS9="","",ROUND(((AS9-BC$9)/BC$10)*BC$12+BC$11,1))</f>
        <v>40.4</v>
      </c>
      <c r="AU9" s="14"/>
      <c r="AV9" s="14"/>
      <c r="AW9" s="14"/>
      <c r="AX9" s="14"/>
      <c r="AY9" s="14"/>
      <c r="AZ9" s="14"/>
      <c r="BA9" s="12"/>
      <c r="BB9" s="9" t="s">
        <v>45</v>
      </c>
      <c r="BC9" s="15" t="n">
        <f aca="false">IFERROR(AVERAGE(AS6:AS400),"")</f>
        <v>36.5121951219512</v>
      </c>
    </row>
    <row r="10" customFormat="false" ht="15" hidden="false" customHeight="true" outlineLevel="0" collapsed="false">
      <c r="A10" s="5" t="s">
        <v>143</v>
      </c>
      <c r="B10" s="5" t="s">
        <v>148</v>
      </c>
      <c r="C10" s="6" t="n">
        <f aca="false">IFERROR(ROUND(MAX(0,AVERAGE(F10,H10,J10,L10,N10)),1),"")</f>
        <v>60.4</v>
      </c>
      <c r="D10" s="7" t="n">
        <f aca="false">COUNT(E10,G10,I10,K10,M10)</f>
        <v>5</v>
      </c>
      <c r="E10" s="13" t="n">
        <v>70</v>
      </c>
      <c r="F10" s="6" t="n">
        <f aca="false">IF(E10="","",ROUND(((E10-Q$7)/Q$8)*Q$18+Q$17,1))</f>
        <v>62.4</v>
      </c>
      <c r="G10" s="13" t="n">
        <v>41</v>
      </c>
      <c r="H10" s="6" t="n">
        <f aca="false">IF(G10="","",ROUND(((G10-Q$9)/Q$10)*Q$18+Q$17,1))</f>
        <v>55.6</v>
      </c>
      <c r="I10" s="17" t="n">
        <v>42.3</v>
      </c>
      <c r="J10" s="6" t="n">
        <f aca="false">IF(I10="","",ROUND(((I10-Q$11)/Q$12)*Q$18+Q$17,1))</f>
        <v>50.2</v>
      </c>
      <c r="K10" s="13" t="n">
        <v>2702</v>
      </c>
      <c r="L10" s="6" t="n">
        <f aca="false">IF(K10="","",ROUND(((K10-Q$13)/Q$14)*Q$18+Q$17,1))</f>
        <v>69.7</v>
      </c>
      <c r="M10" s="13" t="n">
        <v>64</v>
      </c>
      <c r="N10" s="6" t="n">
        <f aca="false">IF(M10="","",ROUND(((M10-Q$15)/Q$16)*Q$18+Q$17,1))</f>
        <v>64</v>
      </c>
      <c r="O10" s="12"/>
      <c r="P10" s="9" t="s">
        <v>38</v>
      </c>
      <c r="Q10" s="16" t="n">
        <f aca="false">IFERROR(STDEVP(G6:G400),"")</f>
        <v>12.8441066010901</v>
      </c>
      <c r="T10" s="5" t="s">
        <v>143</v>
      </c>
      <c r="U10" s="5" t="s">
        <v>148</v>
      </c>
      <c r="V10" s="6" t="n">
        <f aca="false">IFERROR(MIN(ROUND(MAX(0,AVERAGE(Y10,AA10,AC10,AE10,AG10)),1),60.3),"")</f>
        <v>58.9</v>
      </c>
      <c r="W10" s="7" t="n">
        <f aca="false">COUNT(X10,Z10,AB10,AD10,AF10)</f>
        <v>5</v>
      </c>
      <c r="X10" s="13" t="n">
        <v>67</v>
      </c>
      <c r="Y10" s="6" t="n">
        <f aca="false">IF(X10="","",ROUND(((X10-AJ$7)/AJ$8)*AJ$18+AJ$17,1))</f>
        <v>60.6</v>
      </c>
      <c r="Z10" s="13" t="n">
        <v>39</v>
      </c>
      <c r="AA10" s="6" t="n">
        <f aca="false">IF(Z10="","",ROUND(((Z10-AJ$9)/AJ$10)*AJ$18+AJ$17,1))</f>
        <v>54.6</v>
      </c>
      <c r="AB10" s="13" t="n">
        <v>40.5</v>
      </c>
      <c r="AC10" s="6" t="n">
        <f aca="false">IF(AB10="","",ROUND(((AB10-AJ$11)/AJ$12)*AJ$18+AJ$17,1))</f>
        <v>50.5</v>
      </c>
      <c r="AD10" s="17" t="n">
        <v>2586.2</v>
      </c>
      <c r="AE10" s="6" t="n">
        <f aca="false">IF(AD10="","",ROUND(((AD10-AJ$13)/AJ$14)*AJ$18+AJ$17,1))</f>
        <v>66.6</v>
      </c>
      <c r="AF10" s="13" t="n">
        <v>62</v>
      </c>
      <c r="AG10" s="6" t="n">
        <f aca="false">IF(AF10="","",ROUND(((AF10-AJ$15)/AJ$16)*AJ$18+AJ$17,1))</f>
        <v>62</v>
      </c>
      <c r="AH10" s="12"/>
      <c r="AI10" s="9" t="s">
        <v>38</v>
      </c>
      <c r="AJ10" s="16" t="n">
        <f aca="false">IFERROR(STDEVP(Z6:Z400),"")</f>
        <v>12.3785388128202</v>
      </c>
      <c r="AM10" s="5" t="s">
        <v>143</v>
      </c>
      <c r="AN10" s="5" t="s">
        <v>147</v>
      </c>
      <c r="AO10" s="6" t="n">
        <f aca="false">IFERROR(ROUND(MAX(0,AVERAGE(AR10,AT10)),1),"")</f>
        <v>39.6</v>
      </c>
      <c r="AP10" s="7" t="n">
        <f aca="false">COUNT(AQ10,AS10)</f>
        <v>2</v>
      </c>
      <c r="AQ10" s="13" t="n">
        <v>37</v>
      </c>
      <c r="AR10" s="6" t="n">
        <f aca="false">IF(AQ10="","",ROUND(((AQ10-BC$7)/BC$8)*BC$12+BC$11,1))</f>
        <v>41.5</v>
      </c>
      <c r="AS10" s="13" t="n">
        <v>57</v>
      </c>
      <c r="AT10" s="6" t="n">
        <f aca="false">IF(AS10="","",ROUND(((AS10-BC$9)/BC$10)*BC$12+BC$11,1))</f>
        <v>37.6</v>
      </c>
      <c r="AU10" s="14"/>
      <c r="AV10" s="14"/>
      <c r="AW10" s="14"/>
      <c r="AX10" s="14"/>
      <c r="AY10" s="14"/>
      <c r="AZ10" s="14"/>
      <c r="BA10" s="12"/>
      <c r="BB10" s="9" t="s">
        <v>48</v>
      </c>
      <c r="BC10" s="16" t="n">
        <f aca="false">IFERROR(STDEVP(AS6:AS400),"")</f>
        <v>15.4179527147137</v>
      </c>
    </row>
    <row r="11" customFormat="false" ht="15" hidden="false" customHeight="true" outlineLevel="0" collapsed="false">
      <c r="A11" s="5" t="s">
        <v>143</v>
      </c>
      <c r="B11" s="5" t="s">
        <v>149</v>
      </c>
      <c r="C11" s="6" t="n">
        <f aca="false">IFERROR(ROUND(MAX(0,AVERAGE(F11,H11,J11,L11,N11)),1),"")</f>
        <v>54.4</v>
      </c>
      <c r="D11" s="7" t="n">
        <f aca="false">COUNT(E11,G11,I11,K11,M11)</f>
        <v>5</v>
      </c>
      <c r="E11" s="13" t="n">
        <v>65</v>
      </c>
      <c r="F11" s="6" t="n">
        <f aca="false">IF(E11="","",ROUND(((E11-Q$7)/Q$8)*Q$18+Q$17,1))</f>
        <v>57.9</v>
      </c>
      <c r="G11" s="13" t="n">
        <v>36</v>
      </c>
      <c r="H11" s="6" t="n">
        <f aca="false">IF(G11="","",ROUND(((G11-Q$9)/Q$10)*Q$18+Q$17,1))</f>
        <v>47.8</v>
      </c>
      <c r="I11" s="17" t="n">
        <v>42.5</v>
      </c>
      <c r="J11" s="6" t="n">
        <f aca="false">IF(I11="","",ROUND(((I11-Q$11)/Q$12)*Q$18+Q$17,1))</f>
        <v>50.5</v>
      </c>
      <c r="K11" s="13" t="n">
        <v>2099</v>
      </c>
      <c r="L11" s="6" t="n">
        <f aca="false">IF(K11="","",ROUND(((K11-Q$13)/Q$14)*Q$18+Q$17,1))</f>
        <v>53.8</v>
      </c>
      <c r="M11" s="13" t="n">
        <v>62</v>
      </c>
      <c r="N11" s="6" t="n">
        <f aca="false">IF(M11="","",ROUND(((M11-Q$15)/Q$16)*Q$18+Q$17,1))</f>
        <v>62</v>
      </c>
      <c r="O11" s="12"/>
      <c r="P11" s="9" t="s">
        <v>40</v>
      </c>
      <c r="Q11" s="15" t="n">
        <f aca="false">IFERROR(AVERAGE(I6:I400),"")</f>
        <v>23.2211267605634</v>
      </c>
      <c r="T11" s="5" t="s">
        <v>143</v>
      </c>
      <c r="U11" s="5" t="s">
        <v>149</v>
      </c>
      <c r="V11" s="6" t="n">
        <f aca="false">IFERROR(MIN(ROUND(MAX(0,AVERAGE(Y11,AA11,AC11,AE11,AG11)),1),54.4),"")</f>
        <v>52.6</v>
      </c>
      <c r="W11" s="7" t="n">
        <f aca="false">COUNT(X11,Z11,AB11,AD11,AF11)</f>
        <v>5</v>
      </c>
      <c r="X11" s="13" t="n">
        <v>62</v>
      </c>
      <c r="Y11" s="6" t="n">
        <f aca="false">IF(X11="","",ROUND(((X11-AJ$7)/AJ$8)*AJ$18+AJ$17,1))</f>
        <v>56</v>
      </c>
      <c r="Z11" s="13" t="n">
        <v>34</v>
      </c>
      <c r="AA11" s="6" t="n">
        <f aca="false">IF(Z11="","",ROUND(((Z11-AJ$9)/AJ$10)*AJ$18+AJ$17,1))</f>
        <v>46.9</v>
      </c>
      <c r="AB11" s="13" t="n">
        <v>40.4</v>
      </c>
      <c r="AC11" s="6" t="n">
        <f aca="false">IF(AB11="","",ROUND(((AB11-AJ$11)/AJ$12)*AJ$18+AJ$17,1))</f>
        <v>50.3</v>
      </c>
      <c r="AD11" s="17" t="n">
        <v>1997.4</v>
      </c>
      <c r="AE11" s="6" t="n">
        <f aca="false">IF(AD11="","",ROUND(((AD11-AJ$13)/AJ$14)*AJ$18+AJ$17,1))</f>
        <v>51</v>
      </c>
      <c r="AF11" s="13" t="n">
        <v>59</v>
      </c>
      <c r="AG11" s="6" t="n">
        <f aca="false">IF(AF11="","",ROUND(((AF11-AJ$15)/AJ$16)*AJ$18+AJ$17,1))</f>
        <v>59</v>
      </c>
      <c r="AH11" s="12"/>
      <c r="AI11" s="9" t="s">
        <v>40</v>
      </c>
      <c r="AJ11" s="15" t="n">
        <f aca="false">IFERROR(AVERAGE(AB6:AB400),"")</f>
        <v>21.3621621621622</v>
      </c>
      <c r="AM11" s="5" t="s">
        <v>143</v>
      </c>
      <c r="AN11" s="5" t="s">
        <v>149</v>
      </c>
      <c r="AO11" s="6" t="n">
        <f aca="false">IFERROR(ROUND(MAX(0,AVERAGE(AR11,AT11)),1),"")</f>
        <v>36.5</v>
      </c>
      <c r="AP11" s="7" t="n">
        <f aca="false">COUNT(AQ11,AS11)</f>
        <v>2</v>
      </c>
      <c r="AQ11" s="13" t="n">
        <v>32</v>
      </c>
      <c r="AR11" s="6" t="n">
        <f aca="false">IF(AQ11="","",ROUND(((AQ11-BC$7)/BC$8)*BC$12+BC$11,1))</f>
        <v>35.3</v>
      </c>
      <c r="AS11" s="13" t="n">
        <v>57</v>
      </c>
      <c r="AT11" s="6" t="n">
        <f aca="false">IF(AS11="","",ROUND(((AS11-BC$9)/BC$10)*BC$12+BC$11,1))</f>
        <v>37.6</v>
      </c>
      <c r="AU11" s="14"/>
      <c r="AV11" s="14"/>
      <c r="AW11" s="14"/>
      <c r="AX11" s="14"/>
      <c r="AY11" s="14"/>
      <c r="AZ11" s="14"/>
      <c r="BA11" s="12"/>
      <c r="BB11" s="9" t="s">
        <v>50</v>
      </c>
      <c r="BC11" s="15" t="n">
        <f aca="false">MEDIAN(BC$7,BC$9,16.25)</f>
        <v>18.0243902439024</v>
      </c>
    </row>
    <row r="12" customFormat="false" ht="15" hidden="false" customHeight="true" outlineLevel="0" collapsed="false">
      <c r="A12" s="5" t="s">
        <v>143</v>
      </c>
      <c r="B12" s="5" t="s">
        <v>150</v>
      </c>
      <c r="C12" s="6" t="n">
        <f aca="false">IFERROR(ROUND(MAX(0,AVERAGE(F12,H12,J12,L12,N12)),1),"")</f>
        <v>52.7</v>
      </c>
      <c r="D12" s="7" t="n">
        <f aca="false">COUNT(E12,G12,I12,K12,M12)</f>
        <v>5</v>
      </c>
      <c r="E12" s="13" t="n">
        <v>65</v>
      </c>
      <c r="F12" s="6" t="n">
        <f aca="false">IF(E12="","",ROUND(((E12-Q$7)/Q$8)*Q$18+Q$17,1))</f>
        <v>57.9</v>
      </c>
      <c r="G12" s="13" t="n">
        <v>39</v>
      </c>
      <c r="H12" s="6" t="n">
        <f aca="false">IF(G12="","",ROUND(((G12-Q$9)/Q$10)*Q$18+Q$17,1))</f>
        <v>52.5</v>
      </c>
      <c r="I12" s="17" t="n">
        <v>37.8</v>
      </c>
      <c r="J12" s="6" t="n">
        <f aca="false">IF(I12="","",ROUND(((I12-Q$11)/Q$12)*Q$18+Q$17,1))</f>
        <v>43.7</v>
      </c>
      <c r="K12" s="13" t="n">
        <v>2167</v>
      </c>
      <c r="L12" s="6" t="n">
        <f aca="false">IF(K12="","",ROUND(((K12-Q$13)/Q$14)*Q$18+Q$17,1))</f>
        <v>55.6</v>
      </c>
      <c r="M12" s="13" t="n">
        <v>54</v>
      </c>
      <c r="N12" s="6" t="n">
        <f aca="false">IF(M12="","",ROUND(((M12-Q$15)/Q$16)*Q$18+Q$17,1))</f>
        <v>54</v>
      </c>
      <c r="O12" s="12"/>
      <c r="P12" s="9" t="s">
        <v>42</v>
      </c>
      <c r="Q12" s="16" t="n">
        <f aca="false">IFERROR(STDEVP(I6:I400),"")</f>
        <v>13.7368725092739</v>
      </c>
      <c r="T12" s="5" t="s">
        <v>143</v>
      </c>
      <c r="U12" s="5" t="s">
        <v>150</v>
      </c>
      <c r="V12" s="6" t="n">
        <f aca="false">IFERROR(MIN(ROUND(MAX(0,AVERAGE(Y12,AA12,AC12,AE12,AG12)),1),52.7),"")</f>
        <v>51.3</v>
      </c>
      <c r="W12" s="7" t="n">
        <f aca="false">COUNT(X12,Z12,AB12,AD12,AF12)</f>
        <v>5</v>
      </c>
      <c r="X12" s="13" t="n">
        <v>62</v>
      </c>
      <c r="Y12" s="6" t="n">
        <f aca="false">IF(X12="","",ROUND(((X12-AJ$7)/AJ$8)*AJ$18+AJ$17,1))</f>
        <v>56</v>
      </c>
      <c r="Z12" s="13" t="n">
        <v>37</v>
      </c>
      <c r="AA12" s="6" t="n">
        <f aca="false">IF(Z12="","",ROUND(((Z12-AJ$9)/AJ$10)*AJ$18+AJ$17,1))</f>
        <v>51.5</v>
      </c>
      <c r="AB12" s="13" t="n">
        <v>36.1</v>
      </c>
      <c r="AC12" s="6" t="n">
        <f aca="false">IF(AB12="","",ROUND(((AB12-AJ$11)/AJ$12)*AJ$18+AJ$17,1))</f>
        <v>44.1</v>
      </c>
      <c r="AD12" s="17" t="n">
        <v>2067</v>
      </c>
      <c r="AE12" s="6" t="n">
        <f aca="false">IF(AD12="","",ROUND(((AD12-AJ$13)/AJ$14)*AJ$18+AJ$17,1))</f>
        <v>52.9</v>
      </c>
      <c r="AF12" s="13" t="n">
        <v>52</v>
      </c>
      <c r="AG12" s="6" t="n">
        <f aca="false">IF(AF12="","",ROUND(((AF12-AJ$15)/AJ$16)*AJ$18+AJ$17,1))</f>
        <v>52</v>
      </c>
      <c r="AH12" s="12"/>
      <c r="AI12" s="9" t="s">
        <v>42</v>
      </c>
      <c r="AJ12" s="16" t="n">
        <f aca="false">IFERROR(STDEVP(AB6:AB400),"")</f>
        <v>13.2272211408458</v>
      </c>
      <c r="AM12" s="5" t="s">
        <v>143</v>
      </c>
      <c r="AN12" s="5" t="s">
        <v>150</v>
      </c>
      <c r="AO12" s="6" t="n">
        <f aca="false">IFERROR(ROUND(MAX(0,AVERAGE(AR12,AT12)),1),"")</f>
        <v>35</v>
      </c>
      <c r="AP12" s="7" t="n">
        <f aca="false">COUNT(AQ12,AS12)</f>
        <v>2</v>
      </c>
      <c r="AQ12" s="13" t="n">
        <v>35</v>
      </c>
      <c r="AR12" s="6" t="n">
        <f aca="false">IF(AQ12="","",ROUND(((AQ12-BC$7)/BC$8)*BC$12+BC$11,1))</f>
        <v>39</v>
      </c>
      <c r="AS12" s="13" t="n">
        <v>50</v>
      </c>
      <c r="AT12" s="6" t="n">
        <f aca="false">IF(AS12="","",ROUND(((AS12-BC$9)/BC$10)*BC$12+BC$11,1))</f>
        <v>30.9</v>
      </c>
      <c r="AU12" s="14"/>
      <c r="AV12" s="14"/>
      <c r="AW12" s="14"/>
      <c r="AX12" s="14"/>
      <c r="AY12" s="14"/>
      <c r="AZ12" s="14"/>
      <c r="BA12" s="12"/>
      <c r="BB12" s="9" t="s">
        <v>52</v>
      </c>
      <c r="BC12" s="16" t="n">
        <f aca="false">MEDIAN(BC$8,BC$10,14.7)</f>
        <v>14.7</v>
      </c>
    </row>
    <row r="13" customFormat="false" ht="15" hidden="false" customHeight="true" outlineLevel="0" collapsed="false">
      <c r="A13" s="5" t="s">
        <v>143</v>
      </c>
      <c r="B13" s="5" t="s">
        <v>151</v>
      </c>
      <c r="C13" s="6" t="n">
        <f aca="false">IFERROR(ROUND(MAX(0,AVERAGE(F13,H13,J13,L13,N13)),1),"")</f>
        <v>52.3</v>
      </c>
      <c r="D13" s="7" t="n">
        <f aca="false">COUNT(E13,G13,I13,K13,M13)</f>
        <v>5</v>
      </c>
      <c r="E13" s="13" t="n">
        <v>65</v>
      </c>
      <c r="F13" s="6" t="n">
        <f aca="false">IF(E13="","",ROUND(((E13-Q$7)/Q$8)*Q$18+Q$17,1))</f>
        <v>57.9</v>
      </c>
      <c r="G13" s="13" t="n">
        <v>34</v>
      </c>
      <c r="H13" s="6" t="n">
        <f aca="false">IF(G13="","",ROUND(((G13-Q$9)/Q$10)*Q$18+Q$17,1))</f>
        <v>44.7</v>
      </c>
      <c r="I13" s="17" t="n">
        <v>40.2</v>
      </c>
      <c r="J13" s="6" t="n">
        <f aca="false">IF(I13="","",ROUND(((I13-Q$11)/Q$12)*Q$18+Q$17,1))</f>
        <v>47.2</v>
      </c>
      <c r="K13" s="13" t="n">
        <v>2064</v>
      </c>
      <c r="L13" s="6" t="n">
        <f aca="false">IF(K13="","",ROUND(((K13-Q$13)/Q$14)*Q$18+Q$17,1))</f>
        <v>52.9</v>
      </c>
      <c r="M13" s="13" t="n">
        <v>59</v>
      </c>
      <c r="N13" s="6" t="n">
        <f aca="false">IF(M13="","",ROUND(((M13-Q$15)/Q$16)*Q$18+Q$17,1))</f>
        <v>59</v>
      </c>
      <c r="O13" s="12"/>
      <c r="P13" s="9" t="s">
        <v>44</v>
      </c>
      <c r="Q13" s="15" t="n">
        <f aca="false">IFERROR(AVERAGE(K6:K400),"")</f>
        <v>907.55421686747</v>
      </c>
      <c r="T13" s="5" t="s">
        <v>143</v>
      </c>
      <c r="U13" s="5" t="s">
        <v>151</v>
      </c>
      <c r="V13" s="6" t="n">
        <f aca="false">IFERROR(MIN(ROUND(MAX(0,AVERAGE(Y13,AA13,AC13,AE13,AG13)),1),52.3),"")</f>
        <v>50.7</v>
      </c>
      <c r="W13" s="7" t="n">
        <f aca="false">COUNT(X13,Z13,AB13,AD13,AF13)</f>
        <v>5</v>
      </c>
      <c r="X13" s="13" t="n">
        <v>62</v>
      </c>
      <c r="Y13" s="6" t="n">
        <f aca="false">IF(X13="","",ROUND(((X13-AJ$7)/AJ$8)*AJ$18+AJ$17,1))</f>
        <v>56</v>
      </c>
      <c r="Z13" s="13" t="n">
        <v>31.5</v>
      </c>
      <c r="AA13" s="6" t="n">
        <f aca="false">IF(Z13="","",ROUND(((Z13-AJ$9)/AJ$10)*AJ$18+AJ$17,1))</f>
        <v>43</v>
      </c>
      <c r="AB13" s="13" t="n">
        <v>38.3</v>
      </c>
      <c r="AC13" s="6" t="n">
        <f aca="false">IF(AB13="","",ROUND(((AB13-AJ$11)/AJ$12)*AJ$18+AJ$17,1))</f>
        <v>47.3</v>
      </c>
      <c r="AD13" s="17" t="n">
        <v>1968.7</v>
      </c>
      <c r="AE13" s="6" t="n">
        <f aca="false">IF(AD13="","",ROUND(((AD13-AJ$13)/AJ$14)*AJ$18+AJ$17,1))</f>
        <v>50.3</v>
      </c>
      <c r="AF13" s="13" t="n">
        <v>57</v>
      </c>
      <c r="AG13" s="6" t="n">
        <f aca="false">IF(AF13="","",ROUND(((AF13-AJ$15)/AJ$16)*AJ$18+AJ$17,1))</f>
        <v>57</v>
      </c>
      <c r="AH13" s="12"/>
      <c r="AI13" s="9" t="s">
        <v>44</v>
      </c>
      <c r="AJ13" s="15" t="n">
        <f aca="false">IFERROR(AVERAGE(AD6:AD400),"")</f>
        <v>920.931578947369</v>
      </c>
      <c r="AM13" s="5" t="s">
        <v>143</v>
      </c>
      <c r="AN13" s="5" t="s">
        <v>151</v>
      </c>
      <c r="AO13" s="6" t="n">
        <f aca="false">IFERROR(ROUND(MAX(0,AVERAGE(AR13,AT13)),1),"")</f>
        <v>33.7</v>
      </c>
      <c r="AP13" s="7" t="n">
        <f aca="false">COUNT(AQ13,AS13)</f>
        <v>2</v>
      </c>
      <c r="AQ13" s="13" t="n">
        <v>29</v>
      </c>
      <c r="AR13" s="6" t="n">
        <f aca="false">IF(AQ13="","",ROUND(((AQ13-BC$7)/BC$8)*BC$12+BC$11,1))</f>
        <v>31.6</v>
      </c>
      <c r="AS13" s="13" t="n">
        <v>55</v>
      </c>
      <c r="AT13" s="6" t="n">
        <f aca="false">IF(AS13="","",ROUND(((AS13-BC$9)/BC$10)*BC$12+BC$11,1))</f>
        <v>35.7</v>
      </c>
      <c r="AU13" s="14"/>
      <c r="AV13" s="14"/>
      <c r="AW13" s="14"/>
      <c r="AX13" s="14"/>
      <c r="AY13" s="14"/>
      <c r="AZ13" s="14"/>
      <c r="BA13" s="12"/>
    </row>
    <row r="14" customFormat="false" ht="15" hidden="false" customHeight="true" outlineLevel="0" collapsed="false">
      <c r="A14" s="5" t="s">
        <v>143</v>
      </c>
      <c r="B14" s="5" t="s">
        <v>152</v>
      </c>
      <c r="C14" s="6" t="n">
        <f aca="false">IFERROR(ROUND(MAX(0,AVERAGE(F14,H14,J14,L14,N14)),1),"")</f>
        <v>51.5</v>
      </c>
      <c r="D14" s="7" t="n">
        <f aca="false">COUNT(E14,G14,I14,K14,M14)</f>
        <v>5</v>
      </c>
      <c r="E14" s="13" t="n">
        <v>63</v>
      </c>
      <c r="F14" s="6" t="n">
        <f aca="false">IF(E14="","",ROUND(((E14-Q$7)/Q$8)*Q$18+Q$17,1))</f>
        <v>56.1</v>
      </c>
      <c r="G14" s="13" t="n">
        <v>34</v>
      </c>
      <c r="H14" s="6" t="n">
        <f aca="false">IF(G14="","",ROUND(((G14-Q$9)/Q$10)*Q$18+Q$17,1))</f>
        <v>44.7</v>
      </c>
      <c r="I14" s="17" t="n">
        <v>43.2</v>
      </c>
      <c r="J14" s="6" t="n">
        <f aca="false">IF(I14="","",ROUND(((I14-Q$11)/Q$12)*Q$18+Q$17,1))</f>
        <v>51.5</v>
      </c>
      <c r="K14" s="13" t="n">
        <v>2030</v>
      </c>
      <c r="L14" s="6" t="n">
        <f aca="false">IF(K14="","",ROUND(((K14-Q$13)/Q$14)*Q$18+Q$17,1))</f>
        <v>52</v>
      </c>
      <c r="M14" s="13" t="n">
        <v>53</v>
      </c>
      <c r="N14" s="6" t="n">
        <f aca="false">IF(M14="","",ROUND(((M14-Q$15)/Q$16)*Q$18+Q$17,1))</f>
        <v>53</v>
      </c>
      <c r="O14" s="12"/>
      <c r="P14" s="9" t="s">
        <v>47</v>
      </c>
      <c r="Q14" s="16" t="n">
        <f aca="false">IFERROR(STDEVP(K6:K400),"")</f>
        <v>759.111961407603</v>
      </c>
      <c r="T14" s="5" t="s">
        <v>143</v>
      </c>
      <c r="U14" s="5" t="s">
        <v>152</v>
      </c>
      <c r="V14" s="6" t="n">
        <f aca="false">IFERROR(MIN(ROUND(MAX(0,AVERAGE(Y14,AA14,AC14,AE14,AG14)),1),51.4),"")</f>
        <v>50.2</v>
      </c>
      <c r="W14" s="7" t="n">
        <f aca="false">COUNT(X14,Z14,AB14,AD14,AF14)</f>
        <v>5</v>
      </c>
      <c r="X14" s="13" t="n">
        <v>60</v>
      </c>
      <c r="Y14" s="6" t="n">
        <f aca="false">IF(X14="","",ROUND(((X14-AJ$7)/AJ$8)*AJ$18+AJ$17,1))</f>
        <v>54.2</v>
      </c>
      <c r="Z14" s="13" t="n">
        <v>32.5</v>
      </c>
      <c r="AA14" s="6" t="n">
        <f aca="false">IF(Z14="","",ROUND(((Z14-AJ$9)/AJ$10)*AJ$18+AJ$17,1))</f>
        <v>44.5</v>
      </c>
      <c r="AB14" s="13" t="n">
        <v>41.3</v>
      </c>
      <c r="AC14" s="6" t="n">
        <f aca="false">IF(AB14="","",ROUND(((AB14-AJ$11)/AJ$12)*AJ$18+AJ$17,1))</f>
        <v>51.7</v>
      </c>
      <c r="AD14" s="17" t="n">
        <v>1940.4</v>
      </c>
      <c r="AE14" s="6" t="n">
        <f aca="false">IF(AD14="","",ROUND(((AD14-AJ$13)/AJ$14)*AJ$18+AJ$17,1))</f>
        <v>49.5</v>
      </c>
      <c r="AF14" s="13" t="n">
        <v>51</v>
      </c>
      <c r="AG14" s="6" t="n">
        <f aca="false">IF(AF14="","",ROUND(((AF14-AJ$15)/AJ$16)*AJ$18+AJ$17,1))</f>
        <v>51</v>
      </c>
      <c r="AH14" s="12"/>
      <c r="AI14" s="9" t="s">
        <v>47</v>
      </c>
      <c r="AJ14" s="16" t="n">
        <f aca="false">IFERROR(STDEVP(AD6:AD400),"")</f>
        <v>729.394117024629</v>
      </c>
      <c r="AM14" s="5" t="s">
        <v>143</v>
      </c>
      <c r="AN14" s="5" t="s">
        <v>152</v>
      </c>
      <c r="AO14" s="6" t="n">
        <f aca="false">IFERROR(ROUND(MAX(0,AVERAGE(AR14,AT14)),1),"")</f>
        <v>32</v>
      </c>
      <c r="AP14" s="7" t="n">
        <f aca="false">COUNT(AQ14,AS14)</f>
        <v>2</v>
      </c>
      <c r="AQ14" s="13" t="n">
        <v>31</v>
      </c>
      <c r="AR14" s="6" t="n">
        <f aca="false">IF(AQ14="","",ROUND(((AQ14-BC$7)/BC$8)*BC$12+BC$11,1))</f>
        <v>34.1</v>
      </c>
      <c r="AS14" s="13" t="n">
        <v>49</v>
      </c>
      <c r="AT14" s="6" t="n">
        <f aca="false">IF(AS14="","",ROUND(((AS14-BC$9)/BC$10)*BC$12+BC$11,1))</f>
        <v>29.9</v>
      </c>
      <c r="AU14" s="14"/>
      <c r="AV14" s="14"/>
      <c r="AW14" s="14"/>
      <c r="AX14" s="14"/>
      <c r="AY14" s="14"/>
      <c r="AZ14" s="14"/>
      <c r="BA14" s="12"/>
    </row>
    <row r="15" customFormat="false" ht="15" hidden="false" customHeight="true" outlineLevel="0" collapsed="false">
      <c r="A15" s="5" t="s">
        <v>143</v>
      </c>
      <c r="B15" s="5" t="s">
        <v>153</v>
      </c>
      <c r="C15" s="6" t="n">
        <f aca="false">IFERROR(ROUND(MAX(0,AVERAGE(F15,H15,J15,L15,N15)),1),"")</f>
        <v>48.7</v>
      </c>
      <c r="D15" s="7" t="n">
        <f aca="false">COUNT(E15,G15,I15,K15,M15)</f>
        <v>5</v>
      </c>
      <c r="E15" s="13" t="n">
        <v>60</v>
      </c>
      <c r="F15" s="6" t="n">
        <f aca="false">IF(E15="","",ROUND(((E15-Q$7)/Q$8)*Q$18+Q$17,1))</f>
        <v>53.4</v>
      </c>
      <c r="G15" s="13" t="n">
        <v>33</v>
      </c>
      <c r="H15" s="6" t="n">
        <f aca="false">IF(G15="","",ROUND(((G15-Q$9)/Q$10)*Q$18+Q$17,1))</f>
        <v>43.1</v>
      </c>
      <c r="I15" s="17" t="n">
        <v>41</v>
      </c>
      <c r="J15" s="6" t="n">
        <f aca="false">IF(I15="","",ROUND(((I15-Q$11)/Q$12)*Q$18+Q$17,1))</f>
        <v>48.3</v>
      </c>
      <c r="K15" s="13" t="n">
        <v>1781</v>
      </c>
      <c r="L15" s="6" t="n">
        <f aca="false">IF(K15="","",ROUND(((K15-Q$13)/Q$14)*Q$18+Q$17,1))</f>
        <v>45.5</v>
      </c>
      <c r="M15" s="13" t="n">
        <v>53</v>
      </c>
      <c r="N15" s="6" t="n">
        <f aca="false">IF(M15="","",ROUND(((M15-Q$15)/Q$16)*Q$18+Q$17,1))</f>
        <v>53</v>
      </c>
      <c r="O15" s="12"/>
      <c r="P15" s="9" t="s">
        <v>45</v>
      </c>
      <c r="Q15" s="15" t="n">
        <f aca="false">IFERROR(AVERAGE(M6:M400),"")</f>
        <v>22.452380952381</v>
      </c>
      <c r="T15" s="5" t="s">
        <v>143</v>
      </c>
      <c r="U15" s="5" t="s">
        <v>153</v>
      </c>
      <c r="V15" s="6" t="n">
        <f aca="false">IFERROR(MIN(ROUND(MAX(0,AVERAGE(Y15,AA15,AC15,AE15,AG15)),1),48.6),"")</f>
        <v>47.4</v>
      </c>
      <c r="W15" s="7" t="n">
        <f aca="false">COUNT(X15,Z15,AB15,AD15,AF15)</f>
        <v>5</v>
      </c>
      <c r="X15" s="13" t="n">
        <v>57</v>
      </c>
      <c r="Y15" s="6" t="n">
        <f aca="false">IF(X15="","",ROUND(((X15-AJ$7)/AJ$8)*AJ$18+AJ$17,1))</f>
        <v>51.5</v>
      </c>
      <c r="Z15" s="13" t="n">
        <v>31.5</v>
      </c>
      <c r="AA15" s="6" t="n">
        <f aca="false">IF(Z15="","",ROUND(((Z15-AJ$9)/AJ$10)*AJ$18+AJ$17,1))</f>
        <v>43</v>
      </c>
      <c r="AB15" s="13" t="n">
        <v>39.1</v>
      </c>
      <c r="AC15" s="6" t="n">
        <f aca="false">IF(AB15="","",ROUND(((AB15-AJ$11)/AJ$12)*AJ$18+AJ$17,1))</f>
        <v>48.5</v>
      </c>
      <c r="AD15" s="17" t="n">
        <v>1700</v>
      </c>
      <c r="AE15" s="6" t="n">
        <f aca="false">IF(AD15="","",ROUND(((AD15-AJ$13)/AJ$14)*AJ$18+AJ$17,1))</f>
        <v>43.2</v>
      </c>
      <c r="AF15" s="13" t="n">
        <v>51</v>
      </c>
      <c r="AG15" s="6" t="n">
        <f aca="false">IF(AF15="","",ROUND(((AF15-AJ$15)/AJ$16)*AJ$18+AJ$17,1))</f>
        <v>51</v>
      </c>
      <c r="AH15" s="12"/>
      <c r="AI15" s="9" t="s">
        <v>45</v>
      </c>
      <c r="AJ15" s="15" t="n">
        <f aca="false">IFERROR(AVERAGE(AF6:AF400),"")</f>
        <v>22.7</v>
      </c>
      <c r="AM15" s="5" t="s">
        <v>143</v>
      </c>
      <c r="AN15" s="5" t="s">
        <v>153</v>
      </c>
      <c r="AO15" s="6" t="n">
        <f aca="false">IFERROR(ROUND(MAX(0,AVERAGE(AR15,AT15)),1),"")</f>
        <v>31.4</v>
      </c>
      <c r="AP15" s="7" t="n">
        <f aca="false">COUNT(AQ15,AS15)</f>
        <v>2</v>
      </c>
      <c r="AQ15" s="13" t="n">
        <v>30</v>
      </c>
      <c r="AR15" s="6" t="n">
        <f aca="false">IF(AQ15="","",ROUND(((AQ15-BC$7)/BC$8)*BC$12+BC$11,1))</f>
        <v>32.8</v>
      </c>
      <c r="AS15" s="13" t="n">
        <v>49</v>
      </c>
      <c r="AT15" s="6" t="n">
        <f aca="false">IF(AS15="","",ROUND(((AS15-BC$9)/BC$10)*BC$12+BC$11,1))</f>
        <v>29.9</v>
      </c>
      <c r="AU15" s="14"/>
      <c r="AV15" s="14"/>
      <c r="AW15" s="14"/>
      <c r="AX15" s="14"/>
      <c r="AY15" s="14"/>
      <c r="AZ15" s="14"/>
      <c r="BA15" s="12"/>
    </row>
    <row r="16" customFormat="false" ht="15" hidden="false" customHeight="true" outlineLevel="0" collapsed="false">
      <c r="A16" s="5" t="s">
        <v>143</v>
      </c>
      <c r="B16" s="5" t="s">
        <v>154</v>
      </c>
      <c r="C16" s="6" t="n">
        <f aca="false">IFERROR(ROUND(MAX(0,AVERAGE(F16,H16,J16,L16,N16)),1),"")</f>
        <v>45</v>
      </c>
      <c r="D16" s="7" t="n">
        <f aca="false">COUNT(E16,G16,I16,K16,M16)</f>
        <v>5</v>
      </c>
      <c r="E16" s="13" t="n">
        <v>65</v>
      </c>
      <c r="F16" s="6" t="n">
        <f aca="false">IF(E16="","",ROUND(((E16-Q$7)/Q$8)*Q$18+Q$17,1))</f>
        <v>57.9</v>
      </c>
      <c r="G16" s="13" t="n">
        <v>24</v>
      </c>
      <c r="H16" s="6" t="n">
        <f aca="false">IF(G16="","",ROUND(((G16-Q$9)/Q$10)*Q$18+Q$17,1))</f>
        <v>29.1</v>
      </c>
      <c r="I16" s="17" t="n">
        <v>35.5</v>
      </c>
      <c r="J16" s="6" t="n">
        <f aca="false">IF(I16="","",ROUND(((I16-Q$11)/Q$12)*Q$18+Q$17,1))</f>
        <v>40.3</v>
      </c>
      <c r="K16" s="13" t="n">
        <v>2201</v>
      </c>
      <c r="L16" s="6" t="n">
        <f aca="false">IF(K16="","",ROUND(((K16-Q$13)/Q$14)*Q$18+Q$17,1))</f>
        <v>56.5</v>
      </c>
      <c r="M16" s="13" t="n">
        <v>41</v>
      </c>
      <c r="N16" s="6" t="n">
        <f aca="false">IF(M16="","",ROUND(((M16-Q$15)/Q$16)*Q$18+Q$17,1))</f>
        <v>41</v>
      </c>
      <c r="O16" s="12"/>
      <c r="P16" s="9" t="s">
        <v>48</v>
      </c>
      <c r="Q16" s="16" t="n">
        <f aca="false">IFERROR(STDEVP(M6:M400),"")</f>
        <v>19.9972645521622</v>
      </c>
      <c r="T16" s="5" t="s">
        <v>143</v>
      </c>
      <c r="U16" s="5" t="s">
        <v>154</v>
      </c>
      <c r="V16" s="6" t="n">
        <f aca="false">IFERROR(MIN(ROUND(MAX(0,AVERAGE(Y16,AA16,AC16,AE16,AG16)),1),44.9),"")</f>
        <v>43.7</v>
      </c>
      <c r="W16" s="7" t="n">
        <f aca="false">COUNT(X16,Z16,AB16,AD16,AF16)</f>
        <v>5</v>
      </c>
      <c r="X16" s="13" t="n">
        <v>62</v>
      </c>
      <c r="Y16" s="6" t="n">
        <f aca="false">IF(X16="","",ROUND(((X16-AJ$7)/AJ$8)*AJ$18+AJ$17,1))</f>
        <v>56</v>
      </c>
      <c r="Z16" s="13" t="n">
        <v>22.5</v>
      </c>
      <c r="AA16" s="6" t="n">
        <f aca="false">IF(Z16="","",ROUND(((Z16-AJ$9)/AJ$10)*AJ$18+AJ$17,1))</f>
        <v>29</v>
      </c>
      <c r="AB16" s="13" t="n">
        <v>33.8</v>
      </c>
      <c r="AC16" s="6" t="n">
        <f aca="false">IF(AB16="","",ROUND(((AB16-AJ$11)/AJ$12)*AJ$18+AJ$17,1))</f>
        <v>40.8</v>
      </c>
      <c r="AD16" s="17" t="n">
        <v>2093.6</v>
      </c>
      <c r="AE16" s="6" t="n">
        <f aca="false">IF(AD16="","",ROUND(((AD16-AJ$13)/AJ$14)*AJ$18+AJ$17,1))</f>
        <v>53.6</v>
      </c>
      <c r="AF16" s="13" t="n">
        <v>39</v>
      </c>
      <c r="AG16" s="6" t="n">
        <f aca="false">IF(AF16="","",ROUND(((AF16-AJ$15)/AJ$16)*AJ$18+AJ$17,1))</f>
        <v>39</v>
      </c>
      <c r="AH16" s="12"/>
      <c r="AI16" s="9" t="s">
        <v>48</v>
      </c>
      <c r="AJ16" s="16" t="n">
        <f aca="false">IFERROR(STDEVP(AF6:AF400),"")</f>
        <v>19.2089822739259</v>
      </c>
      <c r="AM16" s="5" t="s">
        <v>143</v>
      </c>
      <c r="AN16" s="5" t="s">
        <v>155</v>
      </c>
      <c r="AO16" s="6" t="n">
        <f aca="false">IFERROR(ROUND(MAX(0,AVERAGE(AR16,AT16)),1),"")</f>
        <v>24</v>
      </c>
      <c r="AP16" s="7" t="n">
        <f aca="false">COUNT(AQ16,AS16)</f>
        <v>2</v>
      </c>
      <c r="AQ16" s="13" t="n">
        <v>18</v>
      </c>
      <c r="AR16" s="6" t="n">
        <f aca="false">IF(AQ16="","",ROUND(((AQ16-BC$7)/BC$8)*BC$12+BC$11,1))</f>
        <v>18</v>
      </c>
      <c r="AS16" s="13" t="n">
        <v>49</v>
      </c>
      <c r="AT16" s="6" t="n">
        <f aca="false">IF(AS16="","",ROUND(((AS16-BC$9)/BC$10)*BC$12+BC$11,1))</f>
        <v>29.9</v>
      </c>
      <c r="AU16" s="14"/>
      <c r="AV16" s="14"/>
      <c r="AW16" s="14"/>
      <c r="AX16" s="14"/>
      <c r="AY16" s="14"/>
      <c r="AZ16" s="14"/>
      <c r="BA16" s="12"/>
    </row>
    <row r="17" customFormat="false" ht="15" hidden="false" customHeight="true" outlineLevel="0" collapsed="false">
      <c r="A17" s="5" t="s">
        <v>143</v>
      </c>
      <c r="B17" s="5" t="s">
        <v>156</v>
      </c>
      <c r="C17" s="6" t="n">
        <f aca="false">IFERROR(ROUND(MAX(0,AVERAGE(F17,H17,J17,L17,N17)),1),"")</f>
        <v>43.2</v>
      </c>
      <c r="D17" s="7" t="n">
        <f aca="false">COUNT(E17,G17,I17,K17,M17)</f>
        <v>5</v>
      </c>
      <c r="E17" s="13" t="n">
        <v>54</v>
      </c>
      <c r="F17" s="6" t="n">
        <f aca="false">IF(E17="","",ROUND(((E17-Q$7)/Q$8)*Q$18+Q$17,1))</f>
        <v>47.9</v>
      </c>
      <c r="G17" s="13" t="n">
        <v>24</v>
      </c>
      <c r="H17" s="6" t="n">
        <f aca="false">IF(G17="","",ROUND(((G17-Q$9)/Q$10)*Q$18+Q$17,1))</f>
        <v>29.1</v>
      </c>
      <c r="I17" s="17" t="n">
        <v>39.4</v>
      </c>
      <c r="J17" s="6" t="n">
        <f aca="false">IF(I17="","",ROUND(((I17-Q$11)/Q$12)*Q$18+Q$17,1))</f>
        <v>46</v>
      </c>
      <c r="K17" s="13" t="n">
        <v>1806</v>
      </c>
      <c r="L17" s="6" t="n">
        <f aca="false">IF(K17="","",ROUND(((K17-Q$13)/Q$14)*Q$18+Q$17,1))</f>
        <v>46.1</v>
      </c>
      <c r="M17" s="13" t="n">
        <v>47</v>
      </c>
      <c r="N17" s="6" t="n">
        <f aca="false">IF(M17="","",ROUND(((M17-Q$15)/Q$16)*Q$18+Q$17,1))</f>
        <v>47</v>
      </c>
      <c r="O17" s="12"/>
      <c r="P17" s="9" t="s">
        <v>50</v>
      </c>
      <c r="Q17" s="15" t="n">
        <f aca="false">MEDIAN(Q$7,Q$9,Q$15)</f>
        <v>22.452380952381</v>
      </c>
      <c r="T17" s="5" t="s">
        <v>143</v>
      </c>
      <c r="U17" s="5" t="s">
        <v>156</v>
      </c>
      <c r="V17" s="6" t="n">
        <f aca="false">IFERROR(MIN(ROUND(MAX(0,AVERAGE(Y17,AA17,AC17,AE17,AG17)),1),43.2),"")</f>
        <v>41.9</v>
      </c>
      <c r="W17" s="7" t="n">
        <f aca="false">COUNT(X17,Z17,AB17,AD17,AF17)</f>
        <v>5</v>
      </c>
      <c r="X17" s="13" t="n">
        <v>51</v>
      </c>
      <c r="Y17" s="6" t="n">
        <f aca="false">IF(X17="","",ROUND(((X17-AJ$7)/AJ$8)*AJ$18+AJ$17,1))</f>
        <v>46.1</v>
      </c>
      <c r="Z17" s="13" t="n">
        <v>22</v>
      </c>
      <c r="AA17" s="6" t="n">
        <f aca="false">IF(Z17="","",ROUND(((Z17-AJ$9)/AJ$10)*AJ$18+AJ$17,1))</f>
        <v>28.2</v>
      </c>
      <c r="AB17" s="13" t="n">
        <v>37.2</v>
      </c>
      <c r="AC17" s="6" t="n">
        <f aca="false">IF(AB17="","",ROUND(((AB17-AJ$11)/AJ$12)*AJ$18+AJ$17,1))</f>
        <v>45.7</v>
      </c>
      <c r="AD17" s="17" t="n">
        <v>1705.7</v>
      </c>
      <c r="AE17" s="6" t="n">
        <f aca="false">IF(AD17="","",ROUND(((AD17-AJ$13)/AJ$14)*AJ$18+AJ$17,1))</f>
        <v>43.4</v>
      </c>
      <c r="AF17" s="13" t="n">
        <v>46</v>
      </c>
      <c r="AG17" s="6" t="n">
        <f aca="false">IF(AF17="","",ROUND(((AF17-AJ$15)/AJ$16)*AJ$18+AJ$17,1))</f>
        <v>46</v>
      </c>
      <c r="AH17" s="12"/>
      <c r="AI17" s="9" t="s">
        <v>50</v>
      </c>
      <c r="AJ17" s="15" t="n">
        <f aca="false">MEDIAN(AJ$7,AJ$9,AJ$15)</f>
        <v>22.7</v>
      </c>
      <c r="AM17" s="5" t="s">
        <v>143</v>
      </c>
      <c r="AN17" s="5" t="s">
        <v>156</v>
      </c>
      <c r="AO17" s="6" t="n">
        <f aca="false">IFERROR(ROUND(MAX(0,AVERAGE(AR17,AT17)),1),"")</f>
        <v>23.3</v>
      </c>
      <c r="AP17" s="7" t="n">
        <f aca="false">COUNT(AQ17,AS17)</f>
        <v>2</v>
      </c>
      <c r="AQ17" s="13" t="n">
        <v>20</v>
      </c>
      <c r="AR17" s="6" t="n">
        <f aca="false">IF(AQ17="","",ROUND(((AQ17-BC$7)/BC$8)*BC$12+BC$11,1))</f>
        <v>20.5</v>
      </c>
      <c r="AS17" s="13" t="n">
        <v>45</v>
      </c>
      <c r="AT17" s="6" t="n">
        <f aca="false">IF(AS17="","",ROUND(((AS17-BC$9)/BC$10)*BC$12+BC$11,1))</f>
        <v>26.1</v>
      </c>
      <c r="AU17" s="14"/>
      <c r="AV17" s="14"/>
      <c r="AW17" s="14"/>
      <c r="AX17" s="14"/>
      <c r="AY17" s="14"/>
      <c r="AZ17" s="14"/>
      <c r="BA17" s="12"/>
    </row>
    <row r="18" customFormat="false" ht="15" hidden="false" customHeight="true" outlineLevel="0" collapsed="false">
      <c r="A18" s="5" t="s">
        <v>143</v>
      </c>
      <c r="B18" s="5" t="s">
        <v>155</v>
      </c>
      <c r="C18" s="6" t="n">
        <f aca="false">IFERROR(ROUND(MAX(0,AVERAGE(F18,H18,J18,L18,N18)),1),"")</f>
        <v>43.1</v>
      </c>
      <c r="D18" s="7" t="n">
        <f aca="false">COUNT(E18,G18,I18,K18,M18)</f>
        <v>5</v>
      </c>
      <c r="E18" s="13" t="n">
        <v>57</v>
      </c>
      <c r="F18" s="6" t="n">
        <f aca="false">IF(E18="","",ROUND(((E18-Q$7)/Q$8)*Q$18+Q$17,1))</f>
        <v>50.6</v>
      </c>
      <c r="G18" s="13" t="n">
        <v>21</v>
      </c>
      <c r="H18" s="6" t="n">
        <f aca="false">IF(G18="","",ROUND(((G18-Q$9)/Q$10)*Q$18+Q$17,1))</f>
        <v>24.4</v>
      </c>
      <c r="I18" s="17" t="n">
        <v>38.6</v>
      </c>
      <c r="J18" s="6" t="n">
        <f aca="false">IF(I18="","",ROUND(((I18-Q$11)/Q$12)*Q$18+Q$17,1))</f>
        <v>44.8</v>
      </c>
      <c r="K18" s="13" t="n">
        <v>1757</v>
      </c>
      <c r="L18" s="6" t="n">
        <f aca="false">IF(K18="","",ROUND(((K18-Q$13)/Q$14)*Q$18+Q$17,1))</f>
        <v>44.8</v>
      </c>
      <c r="M18" s="13" t="n">
        <v>51</v>
      </c>
      <c r="N18" s="6" t="n">
        <f aca="false">IF(M18="","",ROUND(((M18-Q$15)/Q$16)*Q$18+Q$17,1))</f>
        <v>51</v>
      </c>
      <c r="O18" s="12"/>
      <c r="P18" s="9" t="s">
        <v>52</v>
      </c>
      <c r="Q18" s="16" t="n">
        <f aca="false">MEDIAN(Q$8,Q$10,Q$16)</f>
        <v>19.9972645521622</v>
      </c>
      <c r="T18" s="5" t="s">
        <v>143</v>
      </c>
      <c r="U18" s="5" t="s">
        <v>155</v>
      </c>
      <c r="V18" s="6" t="n">
        <f aca="false">IFERROR(MIN(ROUND(MAX(0,AVERAGE(Y18,AA18,AC18,AE18,AG18)),1),43.1),"")</f>
        <v>42.1</v>
      </c>
      <c r="W18" s="7" t="n">
        <f aca="false">COUNT(X18,Z18,AB18,AD18,AF18)</f>
        <v>5</v>
      </c>
      <c r="X18" s="13" t="n">
        <v>54</v>
      </c>
      <c r="Y18" s="6" t="n">
        <f aca="false">IF(X18="","",ROUND(((X18-AJ$7)/AJ$8)*AJ$18+AJ$17,1))</f>
        <v>48.8</v>
      </c>
      <c r="Z18" s="13" t="n">
        <v>19.5</v>
      </c>
      <c r="AA18" s="6" t="n">
        <f aca="false">IF(Z18="","",ROUND(((Z18-AJ$9)/AJ$10)*AJ$18+AJ$17,1))</f>
        <v>24.4</v>
      </c>
      <c r="AB18" s="13" t="n">
        <v>36.6</v>
      </c>
      <c r="AC18" s="6" t="n">
        <f aca="false">IF(AB18="","",ROUND(((AB18-AJ$11)/AJ$12)*AJ$18+AJ$17,1))</f>
        <v>44.8</v>
      </c>
      <c r="AD18" s="17" t="n">
        <v>1664.5</v>
      </c>
      <c r="AE18" s="6" t="n">
        <f aca="false">IF(AD18="","",ROUND(((AD18-AJ$13)/AJ$14)*AJ$18+AJ$17,1))</f>
        <v>42.3</v>
      </c>
      <c r="AF18" s="13" t="n">
        <v>50</v>
      </c>
      <c r="AG18" s="6" t="n">
        <f aca="false">IF(AF18="","",ROUND(((AF18-AJ$15)/AJ$16)*AJ$18+AJ$17,1))</f>
        <v>50</v>
      </c>
      <c r="AH18" s="12"/>
      <c r="AI18" s="9" t="s">
        <v>52</v>
      </c>
      <c r="AJ18" s="16" t="n">
        <f aca="false">MEDIAN(AJ$8,AJ$10,AJ$16)</f>
        <v>19.2089822739259</v>
      </c>
      <c r="AM18" s="5" t="s">
        <v>143</v>
      </c>
      <c r="AN18" s="5" t="s">
        <v>157</v>
      </c>
      <c r="AO18" s="6" t="n">
        <f aca="false">IFERROR(ROUND(MAX(0,AVERAGE(AR18,AT18)),1),"")</f>
        <v>22.1</v>
      </c>
      <c r="AP18" s="7" t="n">
        <f aca="false">COUNT(AQ18,AS18)</f>
        <v>2</v>
      </c>
      <c r="AQ18" s="13" t="n">
        <v>18</v>
      </c>
      <c r="AR18" s="6" t="n">
        <f aca="false">IF(AQ18="","",ROUND(((AQ18-BC$7)/BC$8)*BC$12+BC$11,1))</f>
        <v>18</v>
      </c>
      <c r="AS18" s="13" t="n">
        <v>45</v>
      </c>
      <c r="AT18" s="6" t="n">
        <f aca="false">IF(AS18="","",ROUND(((AS18-BC$9)/BC$10)*BC$12+BC$11,1))</f>
        <v>26.1</v>
      </c>
      <c r="AU18" s="14"/>
      <c r="AV18" s="14"/>
      <c r="AW18" s="14"/>
      <c r="AX18" s="14"/>
      <c r="AY18" s="14"/>
      <c r="AZ18" s="14"/>
      <c r="BA18" s="12"/>
    </row>
    <row r="19" customFormat="false" ht="15" hidden="false" customHeight="true" outlineLevel="0" collapsed="false">
      <c r="A19" s="5" t="s">
        <v>143</v>
      </c>
      <c r="B19" s="5" t="s">
        <v>157</v>
      </c>
      <c r="C19" s="6" t="n">
        <f aca="false">IFERROR(ROUND(MAX(0,AVERAGE(F19,H19,J19,L19,N19)),1),"")</f>
        <v>40.3</v>
      </c>
      <c r="D19" s="7" t="n">
        <f aca="false">COUNT(E19,G19,I19,K19,M19)</f>
        <v>5</v>
      </c>
      <c r="E19" s="13" t="n">
        <v>52</v>
      </c>
      <c r="F19" s="6" t="n">
        <f aca="false">IF(E19="","",ROUND(((E19-Q$7)/Q$8)*Q$18+Q$17,1))</f>
        <v>46.1</v>
      </c>
      <c r="G19" s="13" t="n">
        <v>22</v>
      </c>
      <c r="H19" s="6" t="n">
        <f aca="false">IF(G19="","",ROUND(((G19-Q$9)/Q$10)*Q$18+Q$17,1))</f>
        <v>26</v>
      </c>
      <c r="I19" s="17" t="n">
        <v>33.4</v>
      </c>
      <c r="J19" s="6" t="n">
        <f aca="false">IF(I19="","",ROUND(((I19-Q$11)/Q$12)*Q$18+Q$17,1))</f>
        <v>37.3</v>
      </c>
      <c r="K19" s="13" t="n">
        <v>1732</v>
      </c>
      <c r="L19" s="6" t="n">
        <f aca="false">IF(K19="","",ROUND(((K19-Q$13)/Q$14)*Q$18+Q$17,1))</f>
        <v>44.2</v>
      </c>
      <c r="M19" s="13" t="n">
        <v>48</v>
      </c>
      <c r="N19" s="6" t="n">
        <f aca="false">IF(M19="","",ROUND(((M19-Q$15)/Q$16)*Q$18+Q$17,1))</f>
        <v>48</v>
      </c>
      <c r="O19" s="12"/>
      <c r="T19" s="5" t="s">
        <v>143</v>
      </c>
      <c r="U19" s="5" t="s">
        <v>157</v>
      </c>
      <c r="V19" s="6" t="n">
        <f aca="false">IFERROR(MIN(ROUND(MAX(0,AVERAGE(Y19,AA19,AC19,AE19,AG19)),1),40.3),"")</f>
        <v>38.8</v>
      </c>
      <c r="W19" s="7" t="n">
        <f aca="false">COUNT(X19,Z19,AB19,AD19,AF19)</f>
        <v>5</v>
      </c>
      <c r="X19" s="13" t="n">
        <v>49</v>
      </c>
      <c r="Y19" s="6" t="n">
        <f aca="false">IF(X19="","",ROUND(((X19-AJ$7)/AJ$8)*AJ$18+AJ$17,1))</f>
        <v>44.2</v>
      </c>
      <c r="Z19" s="13" t="n">
        <v>20</v>
      </c>
      <c r="AA19" s="6" t="n">
        <f aca="false">IF(Z19="","",ROUND(((Z19-AJ$9)/AJ$10)*AJ$18+AJ$17,1))</f>
        <v>25.1</v>
      </c>
      <c r="AB19" s="13" t="n">
        <v>31.5</v>
      </c>
      <c r="AC19" s="6" t="n">
        <f aca="false">IF(AB19="","",ROUND(((AB19-AJ$11)/AJ$12)*AJ$18+AJ$17,1))</f>
        <v>37.4</v>
      </c>
      <c r="AD19" s="17" t="n">
        <v>1632.1</v>
      </c>
      <c r="AE19" s="6" t="n">
        <f aca="false">IF(AD19="","",ROUND(((AD19-AJ$13)/AJ$14)*AJ$18+AJ$17,1))</f>
        <v>41.4</v>
      </c>
      <c r="AF19" s="13" t="n">
        <v>46</v>
      </c>
      <c r="AG19" s="6" t="n">
        <f aca="false">IF(AF19="","",ROUND(((AF19-AJ$15)/AJ$16)*AJ$18+AJ$17,1))</f>
        <v>46</v>
      </c>
      <c r="AH19" s="12"/>
      <c r="AM19" s="5" t="s">
        <v>143</v>
      </c>
      <c r="AN19" s="5" t="s">
        <v>158</v>
      </c>
      <c r="AO19" s="6" t="n">
        <f aca="false">IFERROR(ROUND(MAX(0,AVERAGE(AR19,AT19)),1),"")</f>
        <v>20.7</v>
      </c>
      <c r="AP19" s="7" t="n">
        <f aca="false">COUNT(AQ19,AS19)</f>
        <v>2</v>
      </c>
      <c r="AQ19" s="13" t="n">
        <v>22</v>
      </c>
      <c r="AR19" s="6" t="n">
        <f aca="false">IF(AQ19="","",ROUND(((AQ19-BC$7)/BC$8)*BC$12+BC$11,1))</f>
        <v>22.9</v>
      </c>
      <c r="AS19" s="13" t="n">
        <v>37</v>
      </c>
      <c r="AT19" s="6" t="n">
        <f aca="false">IF(AS19="","",ROUND(((AS19-BC$9)/BC$10)*BC$12+BC$11,1))</f>
        <v>18.5</v>
      </c>
      <c r="AU19" s="14"/>
      <c r="AV19" s="14"/>
      <c r="AW19" s="14"/>
      <c r="AX19" s="14"/>
      <c r="AY19" s="14"/>
      <c r="AZ19" s="14"/>
      <c r="BA19" s="12"/>
    </row>
    <row r="20" customFormat="false" ht="15" hidden="false" customHeight="true" outlineLevel="0" collapsed="false">
      <c r="A20" s="5" t="s">
        <v>143</v>
      </c>
      <c r="B20" s="5" t="s">
        <v>159</v>
      </c>
      <c r="C20" s="6" t="n">
        <f aca="false">IFERROR(ROUND(MAX(0,AVERAGE(F20,H20,J20,L20,N20)),1),"")</f>
        <v>39.3</v>
      </c>
      <c r="D20" s="7" t="n">
        <f aca="false">COUNT(E20,G20,I20,K20,M20)</f>
        <v>5</v>
      </c>
      <c r="E20" s="13" t="n">
        <v>49</v>
      </c>
      <c r="F20" s="6" t="n">
        <f aca="false">IF(E20="","",ROUND(((E20-Q$7)/Q$8)*Q$18+Q$17,1))</f>
        <v>43.4</v>
      </c>
      <c r="G20" s="13" t="n">
        <v>23</v>
      </c>
      <c r="H20" s="6" t="n">
        <f aca="false">IF(G20="","",ROUND(((G20-Q$9)/Q$10)*Q$18+Q$17,1))</f>
        <v>27.5</v>
      </c>
      <c r="I20" s="17" t="n">
        <v>35.7</v>
      </c>
      <c r="J20" s="6" t="n">
        <f aca="false">IF(I20="","",ROUND(((I20-Q$11)/Q$12)*Q$18+Q$17,1))</f>
        <v>40.6</v>
      </c>
      <c r="K20" s="13" t="n">
        <v>1682</v>
      </c>
      <c r="L20" s="6" t="n">
        <f aca="false">IF(K20="","",ROUND(((K20-Q$13)/Q$14)*Q$18+Q$17,1))</f>
        <v>42.9</v>
      </c>
      <c r="M20" s="13" t="n">
        <v>42</v>
      </c>
      <c r="N20" s="6" t="n">
        <f aca="false">IF(M20="","",ROUND(((M20-Q$15)/Q$16)*Q$18+Q$17,1))</f>
        <v>42</v>
      </c>
      <c r="O20" s="12"/>
      <c r="T20" s="5" t="s">
        <v>143</v>
      </c>
      <c r="U20" s="5" t="s">
        <v>159</v>
      </c>
      <c r="V20" s="6" t="n">
        <f aca="false">IFERROR(MIN(ROUND(MAX(0,AVERAGE(Y20,AA20,AC20,AE20,AG20)),1),39.2),"")</f>
        <v>37.7</v>
      </c>
      <c r="W20" s="7" t="n">
        <f aca="false">COUNT(X20,Z20,AB20,AD20,AF20)</f>
        <v>5</v>
      </c>
      <c r="X20" s="13" t="n">
        <v>46</v>
      </c>
      <c r="Y20" s="6" t="n">
        <f aca="false">IF(X20="","",ROUND(((X20-AJ$7)/AJ$8)*AJ$18+AJ$17,1))</f>
        <v>41.5</v>
      </c>
      <c r="Z20" s="13" t="n">
        <v>21</v>
      </c>
      <c r="AA20" s="6" t="n">
        <f aca="false">IF(Z20="","",ROUND(((Z20-AJ$9)/AJ$10)*AJ$18+AJ$17,1))</f>
        <v>26.7</v>
      </c>
      <c r="AB20" s="13" t="n">
        <v>33.5</v>
      </c>
      <c r="AC20" s="6" t="n">
        <f aca="false">IF(AB20="","",ROUND(((AB20-AJ$11)/AJ$12)*AJ$18+AJ$17,1))</f>
        <v>40.3</v>
      </c>
      <c r="AD20" s="17" t="n">
        <v>1579</v>
      </c>
      <c r="AE20" s="6" t="n">
        <f aca="false">IF(AD20="","",ROUND(((AD20-AJ$13)/AJ$14)*AJ$18+AJ$17,1))</f>
        <v>40</v>
      </c>
      <c r="AF20" s="13" t="n">
        <v>40</v>
      </c>
      <c r="AG20" s="6" t="n">
        <f aca="false">IF(AF20="","",ROUND(((AF20-AJ$15)/AJ$16)*AJ$18+AJ$17,1))</f>
        <v>40</v>
      </c>
      <c r="AH20" s="12"/>
      <c r="AM20" s="5" t="s">
        <v>143</v>
      </c>
      <c r="AN20" s="5" t="s">
        <v>154</v>
      </c>
      <c r="AO20" s="6" t="n">
        <f aca="false">IFERROR(ROUND(MAX(0,AVERAGE(AR20,AT20)),1),"")</f>
        <v>20.6</v>
      </c>
      <c r="AP20" s="7" t="n">
        <f aca="false">COUNT(AQ20,AS20)</f>
        <v>2</v>
      </c>
      <c r="AQ20" s="13" t="n">
        <v>21</v>
      </c>
      <c r="AR20" s="6" t="n">
        <f aca="false">IF(AQ20="","",ROUND(((AQ20-BC$7)/BC$8)*BC$12+BC$11,1))</f>
        <v>21.7</v>
      </c>
      <c r="AS20" s="13" t="n">
        <v>38</v>
      </c>
      <c r="AT20" s="6" t="n">
        <f aca="false">IF(AS20="","",ROUND(((AS20-BC$9)/BC$10)*BC$12+BC$11,1))</f>
        <v>19.4</v>
      </c>
      <c r="AU20" s="14"/>
      <c r="AV20" s="14"/>
      <c r="AW20" s="14"/>
      <c r="AX20" s="14"/>
      <c r="AY20" s="14"/>
      <c r="AZ20" s="14"/>
      <c r="BA20" s="12"/>
    </row>
    <row r="21" customFormat="false" ht="15" hidden="false" customHeight="true" outlineLevel="0" collapsed="false">
      <c r="A21" s="5" t="s">
        <v>143</v>
      </c>
      <c r="B21" s="5" t="s">
        <v>158</v>
      </c>
      <c r="C21" s="6" t="n">
        <f aca="false">IFERROR(ROUND(MAX(0,AVERAGE(F21,H21,J21,L21,N21)),1),"")</f>
        <v>37.8</v>
      </c>
      <c r="D21" s="7" t="n">
        <f aca="false">COUNT(E21,G21,I21,K21,M21)</f>
        <v>5</v>
      </c>
      <c r="E21" s="13" t="n">
        <v>47</v>
      </c>
      <c r="F21" s="6" t="n">
        <f aca="false">IF(E21="","",ROUND(((E21-Q$7)/Q$8)*Q$18+Q$17,1))</f>
        <v>41.6</v>
      </c>
      <c r="G21" s="13" t="n">
        <v>24</v>
      </c>
      <c r="H21" s="6" t="n">
        <f aca="false">IF(G21="","",ROUND(((G21-Q$9)/Q$10)*Q$18+Q$17,1))</f>
        <v>29.1</v>
      </c>
      <c r="I21" s="17" t="n">
        <v>33.4</v>
      </c>
      <c r="J21" s="6" t="n">
        <f aca="false">IF(I21="","",ROUND(((I21-Q$11)/Q$12)*Q$18+Q$17,1))</f>
        <v>37.3</v>
      </c>
      <c r="K21" s="13" t="n">
        <v>1658</v>
      </c>
      <c r="L21" s="6" t="n">
        <f aca="false">IF(K21="","",ROUND(((K21-Q$13)/Q$14)*Q$18+Q$17,1))</f>
        <v>42.2</v>
      </c>
      <c r="M21" s="13" t="n">
        <v>39</v>
      </c>
      <c r="N21" s="6" t="n">
        <f aca="false">IF(M21="","",ROUND(((M21-Q$15)/Q$16)*Q$18+Q$17,1))</f>
        <v>39</v>
      </c>
      <c r="O21" s="12"/>
      <c r="T21" s="5" t="s">
        <v>143</v>
      </c>
      <c r="U21" s="5" t="s">
        <v>158</v>
      </c>
      <c r="V21" s="6" t="n">
        <f aca="false">IFERROR(MIN(ROUND(MAX(0,AVERAGE(Y21,AA21,AC21,AE21,AG21)),1),37.8),"")</f>
        <v>37.2</v>
      </c>
      <c r="W21" s="7" t="n">
        <f aca="false">COUNT(X21,Z21,AB21,AD21,AF21)</f>
        <v>5</v>
      </c>
      <c r="X21" s="13" t="n">
        <v>44</v>
      </c>
      <c r="Y21" s="6" t="n">
        <f aca="false">IF(X21="","",ROUND(((X21-AJ$7)/AJ$8)*AJ$18+AJ$17,1))</f>
        <v>39.7</v>
      </c>
      <c r="Z21" s="13" t="n">
        <v>23</v>
      </c>
      <c r="AA21" s="6" t="n">
        <f aca="false">IF(Z21="","",ROUND(((Z21-AJ$9)/AJ$10)*AJ$18+AJ$17,1))</f>
        <v>29.8</v>
      </c>
      <c r="AB21" s="13" t="n">
        <v>32</v>
      </c>
      <c r="AC21" s="6" t="n">
        <f aca="false">IF(AB21="","",ROUND(((AB21-AJ$11)/AJ$12)*AJ$18+AJ$17,1))</f>
        <v>38.1</v>
      </c>
      <c r="AD21" s="17" t="n">
        <v>1588.9</v>
      </c>
      <c r="AE21" s="6" t="n">
        <f aca="false">IF(AD21="","",ROUND(((AD21-AJ$13)/AJ$14)*AJ$18+AJ$17,1))</f>
        <v>40.3</v>
      </c>
      <c r="AF21" s="13" t="n">
        <v>38</v>
      </c>
      <c r="AG21" s="6" t="n">
        <f aca="false">IF(AF21="","",ROUND(((AF21-AJ$15)/AJ$16)*AJ$18+AJ$17,1))</f>
        <v>38</v>
      </c>
      <c r="AH21" s="12"/>
      <c r="AM21" s="5" t="s">
        <v>143</v>
      </c>
      <c r="AN21" s="5" t="s">
        <v>159</v>
      </c>
      <c r="AO21" s="6" t="n">
        <f aca="false">IFERROR(ROUND(MAX(0,AVERAGE(AR21,AT21)),1),"")</f>
        <v>19.8</v>
      </c>
      <c r="AP21" s="7" t="n">
        <f aca="false">COUNT(AQ21,AS21)</f>
        <v>2</v>
      </c>
      <c r="AQ21" s="13" t="n">
        <v>19</v>
      </c>
      <c r="AR21" s="6" t="n">
        <f aca="false">IF(AQ21="","",ROUND(((AQ21-BC$7)/BC$8)*BC$12+BC$11,1))</f>
        <v>19.2</v>
      </c>
      <c r="AS21" s="13" t="n">
        <v>39</v>
      </c>
      <c r="AT21" s="6" t="n">
        <f aca="false">IF(AS21="","",ROUND(((AS21-BC$9)/BC$10)*BC$12+BC$11,1))</f>
        <v>20.4</v>
      </c>
      <c r="AU21" s="14"/>
      <c r="AV21" s="14"/>
      <c r="AW21" s="14"/>
      <c r="AX21" s="14"/>
      <c r="AY21" s="14"/>
      <c r="AZ21" s="14"/>
      <c r="BA21" s="12"/>
    </row>
    <row r="22" customFormat="false" ht="15" hidden="false" customHeight="true" outlineLevel="0" collapsed="false">
      <c r="A22" s="5" t="s">
        <v>143</v>
      </c>
      <c r="B22" s="5" t="s">
        <v>160</v>
      </c>
      <c r="C22" s="6" t="n">
        <f aca="false">IFERROR(ROUND(MAX(0,AVERAGE(F22,H22,J22,L22,N22)),1),"")</f>
        <v>35</v>
      </c>
      <c r="D22" s="7" t="n">
        <f aca="false">COUNT(E22,G22,I22,K22,M22)</f>
        <v>5</v>
      </c>
      <c r="E22" s="13" t="n">
        <v>45</v>
      </c>
      <c r="F22" s="6" t="n">
        <f aca="false">IF(E22="","",ROUND(((E22-Q$7)/Q$8)*Q$18+Q$17,1))</f>
        <v>39.8</v>
      </c>
      <c r="G22" s="13" t="n">
        <v>20</v>
      </c>
      <c r="H22" s="6" t="n">
        <f aca="false">IF(G22="","",ROUND(((G22-Q$9)/Q$10)*Q$18+Q$17,1))</f>
        <v>22.9</v>
      </c>
      <c r="I22" s="17" t="n">
        <v>30.6</v>
      </c>
      <c r="J22" s="6" t="n">
        <f aca="false">IF(I22="","",ROUND(((I22-Q$11)/Q$12)*Q$18+Q$17,1))</f>
        <v>33.2</v>
      </c>
      <c r="K22" s="13" t="n">
        <v>1534</v>
      </c>
      <c r="L22" s="6" t="n">
        <f aca="false">IF(K22="","",ROUND(((K22-Q$13)/Q$14)*Q$18+Q$17,1))</f>
        <v>39</v>
      </c>
      <c r="M22" s="13" t="n">
        <v>40</v>
      </c>
      <c r="N22" s="6" t="n">
        <f aca="false">IF(M22="","",ROUND(((M22-Q$15)/Q$16)*Q$18+Q$17,1))</f>
        <v>40</v>
      </c>
      <c r="O22" s="12"/>
      <c r="T22" s="5" t="s">
        <v>143</v>
      </c>
      <c r="U22" s="5" t="s">
        <v>160</v>
      </c>
      <c r="V22" s="6" t="n">
        <f aca="false">IFERROR(MIN(ROUND(MAX(0,AVERAGE(Y22,AA22,AC22,AE22,AG22)),1),34.9),"")</f>
        <v>34.2</v>
      </c>
      <c r="W22" s="7" t="n">
        <f aca="false">COUNT(X22,Z22,AB22,AD22,AF22)</f>
        <v>5</v>
      </c>
      <c r="X22" s="13" t="n">
        <v>43</v>
      </c>
      <c r="Y22" s="6" t="n">
        <f aca="false">IF(X22="","",ROUND(((X22-AJ$7)/AJ$8)*AJ$18+AJ$17,1))</f>
        <v>38.8</v>
      </c>
      <c r="Z22" s="13" t="n">
        <v>18</v>
      </c>
      <c r="AA22" s="6" t="n">
        <f aca="false">IF(Z22="","",ROUND(((Z22-AJ$9)/AJ$10)*AJ$18+AJ$17,1))</f>
        <v>22</v>
      </c>
      <c r="AB22" s="13" t="n">
        <v>29.2</v>
      </c>
      <c r="AC22" s="6" t="n">
        <f aca="false">IF(AB22="","",ROUND(((AB22-AJ$11)/AJ$12)*AJ$18+AJ$17,1))</f>
        <v>34.1</v>
      </c>
      <c r="AD22" s="17" t="n">
        <v>1465.8</v>
      </c>
      <c r="AE22" s="6" t="n">
        <f aca="false">IF(AD22="","",ROUND(((AD22-AJ$13)/AJ$14)*AJ$18+AJ$17,1))</f>
        <v>37</v>
      </c>
      <c r="AF22" s="13" t="n">
        <v>39</v>
      </c>
      <c r="AG22" s="6" t="n">
        <f aca="false">IF(AF22="","",ROUND(((AF22-AJ$15)/AJ$16)*AJ$18+AJ$17,1))</f>
        <v>39</v>
      </c>
      <c r="AH22" s="12"/>
      <c r="AM22" s="5" t="s">
        <v>143</v>
      </c>
      <c r="AN22" s="5" t="s">
        <v>161</v>
      </c>
      <c r="AO22" s="6" t="n">
        <f aca="false">IFERROR(ROUND(MAX(0,AVERAGE(AR22,AT22)),1),"")</f>
        <v>18.3</v>
      </c>
      <c r="AP22" s="7" t="n">
        <f aca="false">COUNT(AQ22,AS22)</f>
        <v>2</v>
      </c>
      <c r="AQ22" s="13" t="n">
        <v>18</v>
      </c>
      <c r="AR22" s="6" t="n">
        <f aca="false">IF(AQ22="","",ROUND(((AQ22-BC$7)/BC$8)*BC$12+BC$11,1))</f>
        <v>18</v>
      </c>
      <c r="AS22" s="13" t="n">
        <v>37</v>
      </c>
      <c r="AT22" s="6" t="n">
        <f aca="false">IF(AS22="","",ROUND(((AS22-BC$9)/BC$10)*BC$12+BC$11,1))</f>
        <v>18.5</v>
      </c>
      <c r="AU22" s="14"/>
      <c r="AV22" s="14"/>
      <c r="AW22" s="14"/>
      <c r="AX22" s="14"/>
      <c r="AY22" s="14"/>
      <c r="AZ22" s="14"/>
      <c r="BA22" s="12"/>
    </row>
    <row r="23" customFormat="false" ht="15" hidden="false" customHeight="true" outlineLevel="0" collapsed="false">
      <c r="A23" s="5" t="s">
        <v>143</v>
      </c>
      <c r="B23" s="5" t="s">
        <v>161</v>
      </c>
      <c r="C23" s="6" t="n">
        <f aca="false">IFERROR(ROUND(MAX(0,AVERAGE(F23,H23,J23,L23,N23)),1),"")</f>
        <v>34</v>
      </c>
      <c r="D23" s="7" t="n">
        <f aca="false">COUNT(E23,G23,I23,K23,M23)</f>
        <v>5</v>
      </c>
      <c r="E23" s="13" t="n">
        <v>43</v>
      </c>
      <c r="F23" s="6" t="n">
        <f aca="false">IF(E23="","",ROUND(((E23-Q$7)/Q$8)*Q$18+Q$17,1))</f>
        <v>37.9</v>
      </c>
      <c r="G23" s="13" t="n">
        <v>21</v>
      </c>
      <c r="H23" s="6" t="n">
        <f aca="false">IF(G23="","",ROUND(((G23-Q$9)/Q$10)*Q$18+Q$17,1))</f>
        <v>24.4</v>
      </c>
      <c r="I23" s="17" t="n">
        <v>32.1</v>
      </c>
      <c r="J23" s="6" t="n">
        <f aca="false">IF(I23="","",ROUND(((I23-Q$11)/Q$12)*Q$18+Q$17,1))</f>
        <v>35.4</v>
      </c>
      <c r="K23" s="13" t="n">
        <v>1322</v>
      </c>
      <c r="L23" s="6" t="n">
        <f aca="false">IF(K23="","",ROUND(((K23-Q$13)/Q$14)*Q$18+Q$17,1))</f>
        <v>33.4</v>
      </c>
      <c r="M23" s="13" t="n">
        <v>39</v>
      </c>
      <c r="N23" s="6" t="n">
        <f aca="false">IF(M23="","",ROUND(((M23-Q$15)/Q$16)*Q$18+Q$17,1))</f>
        <v>39</v>
      </c>
      <c r="O23" s="12"/>
      <c r="T23" s="5" t="s">
        <v>143</v>
      </c>
      <c r="U23" s="5" t="s">
        <v>161</v>
      </c>
      <c r="V23" s="6" t="n">
        <f aca="false">IFERROR(MIN(ROUND(MAX(0,AVERAGE(Y23,AA23,AC23,AE23,AG23)),1),34),"")</f>
        <v>32.9</v>
      </c>
      <c r="W23" s="7" t="n">
        <f aca="false">COUNT(X23,Z23,AB23,AD23,AF23)</f>
        <v>5</v>
      </c>
      <c r="X23" s="13" t="n">
        <v>40</v>
      </c>
      <c r="Y23" s="6" t="n">
        <f aca="false">IF(X23="","",ROUND(((X23-AJ$7)/AJ$8)*AJ$18+AJ$17,1))</f>
        <v>36.1</v>
      </c>
      <c r="Z23" s="13" t="n">
        <v>19.5</v>
      </c>
      <c r="AA23" s="6" t="n">
        <f aca="false">IF(Z23="","",ROUND(((Z23-AJ$9)/AJ$10)*AJ$18+AJ$17,1))</f>
        <v>24.4</v>
      </c>
      <c r="AB23" s="13" t="n">
        <v>29.9</v>
      </c>
      <c r="AC23" s="6" t="n">
        <f aca="false">IF(AB23="","",ROUND(((AB23-AJ$11)/AJ$12)*AJ$18+AJ$17,1))</f>
        <v>35.1</v>
      </c>
      <c r="AD23" s="17" t="n">
        <v>1229.8</v>
      </c>
      <c r="AE23" s="6" t="n">
        <f aca="false">IF(AD23="","",ROUND(((AD23-AJ$13)/AJ$14)*AJ$18+AJ$17,1))</f>
        <v>30.8</v>
      </c>
      <c r="AF23" s="13" t="n">
        <v>38</v>
      </c>
      <c r="AG23" s="6" t="n">
        <f aca="false">IF(AF23="","",ROUND(((AF23-AJ$15)/AJ$16)*AJ$18+AJ$17,1))</f>
        <v>38</v>
      </c>
      <c r="AH23" s="12"/>
      <c r="AM23" s="5" t="s">
        <v>143</v>
      </c>
      <c r="AN23" s="5" t="s">
        <v>162</v>
      </c>
      <c r="AO23" s="6" t="n">
        <f aca="false">IFERROR(ROUND(MAX(0,AVERAGE(AR23,AT23)),1),"")</f>
        <v>18</v>
      </c>
      <c r="AP23" s="7" t="n">
        <f aca="false">COUNT(AQ23,AS23)</f>
        <v>2</v>
      </c>
      <c r="AQ23" s="13" t="n">
        <v>16</v>
      </c>
      <c r="AR23" s="6" t="n">
        <f aca="false">IF(AQ23="","",ROUND(((AQ23-BC$7)/BC$8)*BC$12+BC$11,1))</f>
        <v>15.5</v>
      </c>
      <c r="AS23" s="13" t="n">
        <v>39</v>
      </c>
      <c r="AT23" s="6" t="n">
        <f aca="false">IF(AS23="","",ROUND(((AS23-BC$9)/BC$10)*BC$12+BC$11,1))</f>
        <v>20.4</v>
      </c>
      <c r="AU23" s="14"/>
      <c r="AV23" s="14"/>
      <c r="AW23" s="14"/>
      <c r="AX23" s="14"/>
      <c r="AY23" s="14"/>
      <c r="AZ23" s="14"/>
      <c r="BA23" s="12"/>
    </row>
    <row r="24" customFormat="false" ht="15" hidden="false" customHeight="true" outlineLevel="0" collapsed="false">
      <c r="A24" s="5" t="s">
        <v>143</v>
      </c>
      <c r="B24" s="5" t="s">
        <v>163</v>
      </c>
      <c r="C24" s="6" t="n">
        <f aca="false">IFERROR(ROUND(MAX(0,AVERAGE(F24,H24,J24,L24,N24)),1),"")</f>
        <v>33.6</v>
      </c>
      <c r="D24" s="7" t="n">
        <f aca="false">COUNT(E24,G24,I24,K24,M24)</f>
        <v>5</v>
      </c>
      <c r="E24" s="13" t="n">
        <v>41</v>
      </c>
      <c r="F24" s="6" t="n">
        <f aca="false">IF(E24="","",ROUND(((E24-Q$7)/Q$8)*Q$18+Q$17,1))</f>
        <v>36.1</v>
      </c>
      <c r="G24" s="13" t="n">
        <v>17</v>
      </c>
      <c r="H24" s="6" t="n">
        <f aca="false">IF(G24="","",ROUND(((G24-Q$9)/Q$10)*Q$18+Q$17,1))</f>
        <v>18.2</v>
      </c>
      <c r="I24" s="17" t="n">
        <v>32.9</v>
      </c>
      <c r="J24" s="6" t="n">
        <f aca="false">IF(I24="","",ROUND(((I24-Q$11)/Q$12)*Q$18+Q$17,1))</f>
        <v>36.5</v>
      </c>
      <c r="K24" s="13" t="n">
        <v>1387</v>
      </c>
      <c r="L24" s="6" t="n">
        <f aca="false">IF(K24="","",ROUND(((K24-Q$13)/Q$14)*Q$18+Q$17,1))</f>
        <v>35.1</v>
      </c>
      <c r="M24" s="13" t="n">
        <v>42</v>
      </c>
      <c r="N24" s="6" t="n">
        <f aca="false">IF(M24="","",ROUND(((M24-Q$15)/Q$16)*Q$18+Q$17,1))</f>
        <v>42</v>
      </c>
      <c r="O24" s="12"/>
      <c r="T24" s="5" t="s">
        <v>143</v>
      </c>
      <c r="U24" s="5" t="s">
        <v>163</v>
      </c>
      <c r="V24" s="6" t="n">
        <f aca="false">IFERROR(MIN(ROUND(MAX(0,AVERAGE(Y24,AA24,AC24,AE24,AG24)),1),33.5),"")</f>
        <v>32.7</v>
      </c>
      <c r="W24" s="7" t="n">
        <f aca="false">COUNT(X24,Z24,AB24,AD24,AF24)</f>
        <v>5</v>
      </c>
      <c r="X24" s="13" t="n">
        <v>38</v>
      </c>
      <c r="Y24" s="6" t="n">
        <f aca="false">IF(X24="","",ROUND(((X24-AJ$7)/AJ$8)*AJ$18+AJ$17,1))</f>
        <v>34.3</v>
      </c>
      <c r="Z24" s="13" t="n">
        <v>16</v>
      </c>
      <c r="AA24" s="6" t="n">
        <f aca="false">IF(Z24="","",ROUND(((Z24-AJ$9)/AJ$10)*AJ$18+AJ$17,1))</f>
        <v>18.9</v>
      </c>
      <c r="AB24" s="13" t="n">
        <v>31</v>
      </c>
      <c r="AC24" s="6" t="n">
        <f aca="false">IF(AB24="","",ROUND(((AB24-AJ$11)/AJ$12)*AJ$18+AJ$17,1))</f>
        <v>36.7</v>
      </c>
      <c r="AD24" s="17" t="n">
        <v>1305.4</v>
      </c>
      <c r="AE24" s="6" t="n">
        <f aca="false">IF(AD24="","",ROUND(((AD24-AJ$13)/AJ$14)*AJ$18+AJ$17,1))</f>
        <v>32.8</v>
      </c>
      <c r="AF24" s="13" t="n">
        <v>41</v>
      </c>
      <c r="AG24" s="6" t="n">
        <f aca="false">IF(AF24="","",ROUND(((AF24-AJ$15)/AJ$16)*AJ$18+AJ$17,1))</f>
        <v>41</v>
      </c>
      <c r="AH24" s="12"/>
      <c r="AM24" s="5" t="s">
        <v>143</v>
      </c>
      <c r="AN24" s="5" t="s">
        <v>163</v>
      </c>
      <c r="AO24" s="6" t="n">
        <f aca="false">IFERROR(ROUND(MAX(0,AVERAGE(AR24,AT24)),1),"")</f>
        <v>17.8</v>
      </c>
      <c r="AP24" s="7" t="n">
        <f aca="false">COUNT(AQ24,AS24)</f>
        <v>2</v>
      </c>
      <c r="AQ24" s="13" t="n">
        <v>15</v>
      </c>
      <c r="AR24" s="6" t="n">
        <f aca="false">IF(AQ24="","",ROUND(((AQ24-BC$7)/BC$8)*BC$12+BC$11,1))</f>
        <v>14.3</v>
      </c>
      <c r="AS24" s="13" t="n">
        <v>40</v>
      </c>
      <c r="AT24" s="6" t="n">
        <f aca="false">IF(AS24="","",ROUND(((AS24-BC$9)/BC$10)*BC$12+BC$11,1))</f>
        <v>21.3</v>
      </c>
      <c r="AU24" s="14"/>
      <c r="AV24" s="14"/>
      <c r="AW24" s="14"/>
      <c r="AX24" s="14"/>
      <c r="AY24" s="14"/>
      <c r="AZ24" s="14"/>
      <c r="BA24" s="12"/>
    </row>
    <row r="25" customFormat="false" ht="15" hidden="false" customHeight="true" outlineLevel="0" collapsed="false">
      <c r="A25" s="5" t="s">
        <v>143</v>
      </c>
      <c r="B25" s="5" t="s">
        <v>162</v>
      </c>
      <c r="C25" s="6" t="n">
        <f aca="false">IFERROR(ROUND(MAX(0,AVERAGE(F25,H25,J25,L25,N25)),1),"")</f>
        <v>32.4</v>
      </c>
      <c r="D25" s="7" t="n">
        <f aca="false">COUNT(E25,G25,I25,K25,M25)</f>
        <v>5</v>
      </c>
      <c r="E25" s="13" t="n">
        <v>32</v>
      </c>
      <c r="F25" s="6" t="n">
        <f aca="false">IF(E25="","",ROUND(((E25-Q$7)/Q$8)*Q$18+Q$17,1))</f>
        <v>28</v>
      </c>
      <c r="G25" s="13" t="n">
        <v>19</v>
      </c>
      <c r="H25" s="6" t="n">
        <f aca="false">IF(G25="","",ROUND(((G25-Q$9)/Q$10)*Q$18+Q$17,1))</f>
        <v>21.3</v>
      </c>
      <c r="I25" s="17" t="n">
        <v>29</v>
      </c>
      <c r="J25" s="6" t="n">
        <f aca="false">IF(I25="","",ROUND(((I25-Q$11)/Q$12)*Q$18+Q$17,1))</f>
        <v>30.9</v>
      </c>
      <c r="K25" s="13" t="n">
        <v>1633</v>
      </c>
      <c r="L25" s="6" t="n">
        <f aca="false">IF(K25="","",ROUND(((K25-Q$13)/Q$14)*Q$18+Q$17,1))</f>
        <v>41.6</v>
      </c>
      <c r="M25" s="13" t="n">
        <v>40</v>
      </c>
      <c r="N25" s="6" t="n">
        <f aca="false">IF(M25="","",ROUND(((M25-Q$15)/Q$16)*Q$18+Q$17,1))</f>
        <v>40</v>
      </c>
      <c r="O25" s="12"/>
      <c r="T25" s="5" t="s">
        <v>143</v>
      </c>
      <c r="U25" s="5" t="s">
        <v>162</v>
      </c>
      <c r="V25" s="6" t="n">
        <f aca="false">IFERROR(MIN(ROUND(MAX(0,AVERAGE(Y25,AA25,AC25,AE25,AG25)),1),32.3),"")</f>
        <v>31.4</v>
      </c>
      <c r="W25" s="7" t="n">
        <f aca="false">COUNT(X25,Z25,AB25,AD25,AF25)</f>
        <v>5</v>
      </c>
      <c r="X25" s="13" t="n">
        <v>30</v>
      </c>
      <c r="Y25" s="6" t="n">
        <f aca="false">IF(X25="","",ROUND(((X25-AJ$7)/AJ$8)*AJ$18+AJ$17,1))</f>
        <v>27</v>
      </c>
      <c r="Z25" s="13" t="n">
        <v>17.5</v>
      </c>
      <c r="AA25" s="6" t="n">
        <f aca="false">IF(Z25="","",ROUND(((Z25-AJ$9)/AJ$10)*AJ$18+AJ$17,1))</f>
        <v>21.2</v>
      </c>
      <c r="AB25" s="13" t="n">
        <v>27.2</v>
      </c>
      <c r="AC25" s="6" t="n">
        <f aca="false">IF(AB25="","",ROUND(((AB25-AJ$11)/AJ$12)*AJ$18+AJ$17,1))</f>
        <v>31.2</v>
      </c>
      <c r="AD25" s="17" t="n">
        <v>1530.9</v>
      </c>
      <c r="AE25" s="6" t="n">
        <f aca="false">IF(AD25="","",ROUND(((AD25-AJ$13)/AJ$14)*AJ$18+AJ$17,1))</f>
        <v>38.8</v>
      </c>
      <c r="AF25" s="13" t="n">
        <v>39</v>
      </c>
      <c r="AG25" s="6" t="n">
        <f aca="false">IF(AF25="","",ROUND(((AF25-AJ$15)/AJ$16)*AJ$18+AJ$17,1))</f>
        <v>39</v>
      </c>
      <c r="AH25" s="12"/>
      <c r="AM25" s="5" t="s">
        <v>143</v>
      </c>
      <c r="AN25" s="5" t="s">
        <v>160</v>
      </c>
      <c r="AO25" s="6" t="n">
        <f aca="false">IFERROR(ROUND(MAX(0,AVERAGE(AR25,AT25)),1),"")</f>
        <v>17.5</v>
      </c>
      <c r="AP25" s="7" t="n">
        <f aca="false">COUNT(AQ25,AS25)</f>
        <v>2</v>
      </c>
      <c r="AQ25" s="13" t="n">
        <v>16</v>
      </c>
      <c r="AR25" s="6" t="n">
        <f aca="false">IF(AQ25="","",ROUND(((AQ25-BC$7)/BC$8)*BC$12+BC$11,1))</f>
        <v>15.5</v>
      </c>
      <c r="AS25" s="13" t="n">
        <v>38</v>
      </c>
      <c r="AT25" s="6" t="n">
        <f aca="false">IF(AS25="","",ROUND(((AS25-BC$9)/BC$10)*BC$12+BC$11,1))</f>
        <v>19.4</v>
      </c>
      <c r="AU25" s="14"/>
      <c r="AV25" s="14"/>
      <c r="AW25" s="14"/>
      <c r="AX25" s="14"/>
      <c r="AY25" s="14"/>
      <c r="AZ25" s="14"/>
      <c r="BA25" s="12"/>
    </row>
    <row r="26" customFormat="false" ht="15" hidden="false" customHeight="true" outlineLevel="0" collapsed="false">
      <c r="A26" s="5" t="s">
        <v>143</v>
      </c>
      <c r="B26" s="5" t="s">
        <v>164</v>
      </c>
      <c r="C26" s="6" t="n">
        <f aca="false">IFERROR(ROUND(MAX(0,AVERAGE(F26,H26,J26,L26,N26)),1),"")</f>
        <v>32.3</v>
      </c>
      <c r="D26" s="7" t="n">
        <f aca="false">COUNT(E26,G26,I26,K26,M26)</f>
        <v>5</v>
      </c>
      <c r="E26" s="13" t="n">
        <v>40</v>
      </c>
      <c r="F26" s="6" t="n">
        <f aca="false">IF(E26="","",ROUND(((E26-Q$7)/Q$8)*Q$18+Q$17,1))</f>
        <v>35.2</v>
      </c>
      <c r="G26" s="13" t="n">
        <v>17</v>
      </c>
      <c r="H26" s="6" t="n">
        <f aca="false">IF(G26="","",ROUND(((G26-Q$9)/Q$10)*Q$18+Q$17,1))</f>
        <v>18.2</v>
      </c>
      <c r="I26" s="17" t="n">
        <v>33.1</v>
      </c>
      <c r="J26" s="6" t="n">
        <f aca="false">IF(I26="","",ROUND(((I26-Q$11)/Q$12)*Q$18+Q$17,1))</f>
        <v>36.8</v>
      </c>
      <c r="K26" s="13" t="n">
        <v>1355</v>
      </c>
      <c r="L26" s="6" t="n">
        <f aca="false">IF(K26="","",ROUND(((K26-Q$13)/Q$14)*Q$18+Q$17,1))</f>
        <v>34.2</v>
      </c>
      <c r="M26" s="13" t="n">
        <v>37</v>
      </c>
      <c r="N26" s="6" t="n">
        <f aca="false">IF(M26="","",ROUND(((M26-Q$15)/Q$16)*Q$18+Q$17,1))</f>
        <v>37</v>
      </c>
      <c r="O26" s="12"/>
      <c r="T26" s="5" t="s">
        <v>143</v>
      </c>
      <c r="U26" s="5" t="s">
        <v>164</v>
      </c>
      <c r="V26" s="6" t="n">
        <f aca="false">IFERROR(MIN(ROUND(MAX(0,AVERAGE(Y26,AA26,AC26,AE26,AG26)),1),32.3),"")</f>
        <v>32</v>
      </c>
      <c r="W26" s="7" t="n">
        <f aca="false">COUNT(X26,Z26,AB26,AD26,AF26)</f>
        <v>5</v>
      </c>
      <c r="X26" s="13" t="n">
        <v>38</v>
      </c>
      <c r="Y26" s="6" t="n">
        <f aca="false">IF(X26="","",ROUND(((X26-AJ$7)/AJ$8)*AJ$18+AJ$17,1))</f>
        <v>34.3</v>
      </c>
      <c r="Z26" s="13" t="n">
        <v>16</v>
      </c>
      <c r="AA26" s="6" t="n">
        <f aca="false">IF(Z26="","",ROUND(((Z26-AJ$9)/AJ$10)*AJ$18+AJ$17,1))</f>
        <v>18.9</v>
      </c>
      <c r="AB26" s="13" t="n">
        <v>31.4</v>
      </c>
      <c r="AC26" s="6" t="n">
        <f aca="false">IF(AB26="","",ROUND(((AB26-AJ$11)/AJ$12)*AJ$18+AJ$17,1))</f>
        <v>37.3</v>
      </c>
      <c r="AD26" s="17" t="n">
        <v>1287.2</v>
      </c>
      <c r="AE26" s="6" t="n">
        <f aca="false">IF(AD26="","",ROUND(((AD26-AJ$13)/AJ$14)*AJ$18+AJ$17,1))</f>
        <v>32.3</v>
      </c>
      <c r="AF26" s="13" t="n">
        <v>37</v>
      </c>
      <c r="AG26" s="6" t="n">
        <f aca="false">IF(AF26="","",ROUND(((AF26-AJ$15)/AJ$16)*AJ$18+AJ$17,1))</f>
        <v>37</v>
      </c>
      <c r="AH26" s="12"/>
      <c r="AM26" s="5" t="s">
        <v>143</v>
      </c>
      <c r="AN26" s="5" t="s">
        <v>164</v>
      </c>
      <c r="AO26" s="6" t="n">
        <f aca="false">IFERROR(ROUND(MAX(0,AVERAGE(AR26,AT26)),1),"")</f>
        <v>16.4</v>
      </c>
      <c r="AP26" s="7" t="n">
        <f aca="false">COUNT(AQ26,AS26)</f>
        <v>2</v>
      </c>
      <c r="AQ26" s="13" t="n">
        <v>15</v>
      </c>
      <c r="AR26" s="6" t="n">
        <f aca="false">IF(AQ26="","",ROUND(((AQ26-BC$7)/BC$8)*BC$12+BC$11,1))</f>
        <v>14.3</v>
      </c>
      <c r="AS26" s="13" t="n">
        <v>37</v>
      </c>
      <c r="AT26" s="6" t="n">
        <f aca="false">IF(AS26="","",ROUND(((AS26-BC$9)/BC$10)*BC$12+BC$11,1))</f>
        <v>18.5</v>
      </c>
      <c r="AU26" s="14"/>
      <c r="AV26" s="14"/>
      <c r="AW26" s="14"/>
      <c r="AX26" s="14"/>
      <c r="AY26" s="14"/>
      <c r="AZ26" s="14"/>
      <c r="BA26" s="12"/>
    </row>
    <row r="27" customFormat="false" ht="15" hidden="false" customHeight="true" outlineLevel="0" collapsed="false">
      <c r="A27" s="5" t="s">
        <v>143</v>
      </c>
      <c r="B27" s="5" t="s">
        <v>165</v>
      </c>
      <c r="C27" s="6" t="n">
        <f aca="false">IFERROR(ROUND(MAX(0,AVERAGE(F27,H27,J27,L27,N27)),1),"")</f>
        <v>30.6</v>
      </c>
      <c r="D27" s="7" t="n">
        <f aca="false">COUNT(E27,G27,I27,K27,M27)</f>
        <v>5</v>
      </c>
      <c r="E27" s="13" t="n">
        <v>39</v>
      </c>
      <c r="F27" s="6" t="n">
        <f aca="false">IF(E27="","",ROUND(((E27-Q$7)/Q$8)*Q$18+Q$17,1))</f>
        <v>34.3</v>
      </c>
      <c r="G27" s="13" t="n">
        <v>17</v>
      </c>
      <c r="H27" s="6" t="n">
        <f aca="false">IF(G27="","",ROUND(((G27-Q$9)/Q$10)*Q$18+Q$17,1))</f>
        <v>18.2</v>
      </c>
      <c r="I27" s="17" t="n">
        <v>31.3</v>
      </c>
      <c r="J27" s="6" t="n">
        <f aca="false">IF(I27="","",ROUND(((I27-Q$11)/Q$12)*Q$18+Q$17,1))</f>
        <v>34.2</v>
      </c>
      <c r="K27" s="13" t="n">
        <v>1242</v>
      </c>
      <c r="L27" s="6" t="n">
        <f aca="false">IF(K27="","",ROUND(((K27-Q$13)/Q$14)*Q$18+Q$17,1))</f>
        <v>31.3</v>
      </c>
      <c r="M27" s="13" t="n">
        <v>35</v>
      </c>
      <c r="N27" s="6" t="n">
        <f aca="false">IF(M27="","",ROUND(((M27-Q$15)/Q$16)*Q$18+Q$17,1))</f>
        <v>35</v>
      </c>
      <c r="O27" s="12"/>
      <c r="T27" s="5" t="s">
        <v>143</v>
      </c>
      <c r="U27" s="5" t="s">
        <v>165</v>
      </c>
      <c r="V27" s="6" t="n">
        <f aca="false">IFERROR(MIN(ROUND(MAX(0,AVERAGE(Y27,AA27,AC27,AE27,AG27)),1),30.6),"")</f>
        <v>29.8</v>
      </c>
      <c r="W27" s="7" t="n">
        <f aca="false">COUNT(X27,Z27,AB27,AD27,AF27)</f>
        <v>5</v>
      </c>
      <c r="X27" s="13" t="n">
        <v>36</v>
      </c>
      <c r="Y27" s="6" t="n">
        <f aca="false">IF(X27="","",ROUND(((X27-AJ$7)/AJ$8)*AJ$18+AJ$17,1))</f>
        <v>32.4</v>
      </c>
      <c r="Z27" s="13" t="n">
        <v>16</v>
      </c>
      <c r="AA27" s="6" t="n">
        <f aca="false">IF(Z27="","",ROUND(((Z27-AJ$9)/AJ$10)*AJ$18+AJ$17,1))</f>
        <v>18.9</v>
      </c>
      <c r="AB27" s="13" t="n">
        <v>29.5</v>
      </c>
      <c r="AC27" s="6" t="n">
        <f aca="false">IF(AB27="","",ROUND(((AB27-AJ$11)/AJ$12)*AJ$18+AJ$17,1))</f>
        <v>34.5</v>
      </c>
      <c r="AD27" s="17" t="n">
        <v>1168.9</v>
      </c>
      <c r="AE27" s="6" t="n">
        <f aca="false">IF(AD27="","",ROUND(((AD27-AJ$13)/AJ$14)*AJ$18+AJ$17,1))</f>
        <v>29.2</v>
      </c>
      <c r="AF27" s="13" t="n">
        <v>34</v>
      </c>
      <c r="AG27" s="6" t="n">
        <f aca="false">IF(AF27="","",ROUND(((AF27-AJ$15)/AJ$16)*AJ$18+AJ$17,1))</f>
        <v>34</v>
      </c>
      <c r="AH27" s="12"/>
      <c r="AM27" s="5" t="s">
        <v>143</v>
      </c>
      <c r="AN27" s="5" t="s">
        <v>165</v>
      </c>
      <c r="AO27" s="6" t="n">
        <f aca="false">IFERROR(ROUND(MAX(0,AVERAGE(AR27,AT27)),1),"")</f>
        <v>15</v>
      </c>
      <c r="AP27" s="7" t="n">
        <f aca="false">COUNT(AQ27,AS27)</f>
        <v>2</v>
      </c>
      <c r="AQ27" s="13" t="n">
        <v>15</v>
      </c>
      <c r="AR27" s="6" t="n">
        <f aca="false">IF(AQ27="","",ROUND(((AQ27-BC$7)/BC$8)*BC$12+BC$11,1))</f>
        <v>14.3</v>
      </c>
      <c r="AS27" s="13" t="n">
        <v>34</v>
      </c>
      <c r="AT27" s="6" t="n">
        <f aca="false">IF(AS27="","",ROUND(((AS27-BC$9)/BC$10)*BC$12+BC$11,1))</f>
        <v>15.6</v>
      </c>
      <c r="AU27" s="14"/>
      <c r="AV27" s="14"/>
      <c r="AW27" s="14"/>
      <c r="AX27" s="14"/>
      <c r="AY27" s="14"/>
      <c r="AZ27" s="14"/>
      <c r="BA27" s="12"/>
    </row>
    <row r="28" customFormat="false" ht="15" hidden="false" customHeight="true" outlineLevel="0" collapsed="false">
      <c r="A28" s="5" t="s">
        <v>143</v>
      </c>
      <c r="B28" s="5" t="s">
        <v>166</v>
      </c>
      <c r="C28" s="6" t="n">
        <f aca="false">IFERROR(ROUND(MAX(0,AVERAGE(F28,H28,J28,L28,N28)),1),"")</f>
        <v>30.5</v>
      </c>
      <c r="D28" s="7" t="n">
        <f aca="false">COUNT(E28,G28,I28,K28,M28)</f>
        <v>5</v>
      </c>
      <c r="E28" s="13" t="n">
        <v>42</v>
      </c>
      <c r="F28" s="6" t="n">
        <f aca="false">IF(E28="","",ROUND(((E28-Q$7)/Q$8)*Q$18+Q$17,1))</f>
        <v>37</v>
      </c>
      <c r="G28" s="13" t="n">
        <v>16</v>
      </c>
      <c r="H28" s="6" t="n">
        <f aca="false">IF(G28="","",ROUND(((G28-Q$9)/Q$10)*Q$18+Q$17,1))</f>
        <v>16.6</v>
      </c>
      <c r="I28" s="17" t="n">
        <v>28.4</v>
      </c>
      <c r="J28" s="6" t="n">
        <f aca="false">IF(I28="","",ROUND(((I28-Q$11)/Q$12)*Q$18+Q$17,1))</f>
        <v>30</v>
      </c>
      <c r="K28" s="13" t="n">
        <v>1371</v>
      </c>
      <c r="L28" s="6" t="n">
        <f aca="false">IF(K28="","",ROUND(((K28-Q$13)/Q$14)*Q$18+Q$17,1))</f>
        <v>34.7</v>
      </c>
      <c r="M28" s="13" t="n">
        <v>34</v>
      </c>
      <c r="N28" s="6" t="n">
        <f aca="false">IF(M28="","",ROUND(((M28-Q$15)/Q$16)*Q$18+Q$17,1))</f>
        <v>34</v>
      </c>
      <c r="O28" s="12"/>
      <c r="T28" s="5" t="s">
        <v>143</v>
      </c>
      <c r="U28" s="5" t="s">
        <v>166</v>
      </c>
      <c r="V28" s="6" t="n">
        <f aca="false">IFERROR(MIN(ROUND(MAX(0,AVERAGE(Y28,AA28,AC28,AE28,AG28)),1),30.4),"")</f>
        <v>28.5</v>
      </c>
      <c r="W28" s="7" t="n">
        <f aca="false">COUNT(X28,Z28,AB28,AD28,AF28)</f>
        <v>5</v>
      </c>
      <c r="X28" s="13" t="n">
        <v>39</v>
      </c>
      <c r="Y28" s="6" t="n">
        <f aca="false">IF(X28="","",ROUND(((X28-AJ$7)/AJ$8)*AJ$18+AJ$17,1))</f>
        <v>35.2</v>
      </c>
      <c r="Z28" s="13" t="n">
        <v>14</v>
      </c>
      <c r="AA28" s="6" t="n">
        <f aca="false">IF(Z28="","",ROUND(((Z28-AJ$9)/AJ$10)*AJ$18+AJ$17,1))</f>
        <v>15.8</v>
      </c>
      <c r="AB28" s="13" t="n">
        <v>25.9</v>
      </c>
      <c r="AC28" s="6" t="n">
        <f aca="false">IF(AB28="","",ROUND(((AB28-AJ$11)/AJ$12)*AJ$18+AJ$17,1))</f>
        <v>29.3</v>
      </c>
      <c r="AD28" s="17" t="n">
        <v>1250</v>
      </c>
      <c r="AE28" s="6" t="n">
        <f aca="false">IF(AD28="","",ROUND(((AD28-AJ$13)/AJ$14)*AJ$18+AJ$17,1))</f>
        <v>31.4</v>
      </c>
      <c r="AF28" s="13" t="n">
        <v>31</v>
      </c>
      <c r="AG28" s="6" t="n">
        <f aca="false">IF(AF28="","",ROUND(((AF28-AJ$15)/AJ$16)*AJ$18+AJ$17,1))</f>
        <v>31</v>
      </c>
      <c r="AH28" s="12"/>
      <c r="AM28" s="5" t="s">
        <v>143</v>
      </c>
      <c r="AN28" s="5" t="s">
        <v>167</v>
      </c>
      <c r="AO28" s="6" t="n">
        <f aca="false">IFERROR(ROUND(MAX(0,AVERAGE(AR28,AT28)),1),"")</f>
        <v>12</v>
      </c>
      <c r="AP28" s="7" t="n">
        <f aca="false">COUNT(AQ28,AS28)</f>
        <v>2</v>
      </c>
      <c r="AQ28" s="13" t="n">
        <v>14</v>
      </c>
      <c r="AR28" s="6" t="n">
        <f aca="false">IF(AQ28="","",ROUND(((AQ28-BC$7)/BC$8)*BC$12+BC$11,1))</f>
        <v>13</v>
      </c>
      <c r="AS28" s="13" t="n">
        <v>29</v>
      </c>
      <c r="AT28" s="6" t="n">
        <f aca="false">IF(AS28="","",ROUND(((AS28-BC$9)/BC$10)*BC$12+BC$11,1))</f>
        <v>10.9</v>
      </c>
      <c r="AU28" s="14"/>
      <c r="AV28" s="14"/>
      <c r="AW28" s="14"/>
      <c r="AX28" s="14"/>
      <c r="AY28" s="14"/>
      <c r="AZ28" s="14"/>
      <c r="BA28" s="12"/>
    </row>
    <row r="29" customFormat="false" ht="15" hidden="false" customHeight="true" outlineLevel="0" collapsed="false">
      <c r="A29" s="5" t="s">
        <v>143</v>
      </c>
      <c r="B29" s="5" t="s">
        <v>167</v>
      </c>
      <c r="C29" s="6" t="n">
        <f aca="false">IFERROR(ROUND(MAX(0,AVERAGE(F29,H29,J29,L29,N29)),1),"")</f>
        <v>27.2</v>
      </c>
      <c r="D29" s="7" t="n">
        <f aca="false">COUNT(E29,G29,I29,K29,M29)</f>
        <v>5</v>
      </c>
      <c r="E29" s="13" t="n">
        <v>36</v>
      </c>
      <c r="F29" s="6" t="n">
        <f aca="false">IF(E29="","",ROUND(((E29-Q$7)/Q$8)*Q$18+Q$17,1))</f>
        <v>31.6</v>
      </c>
      <c r="G29" s="13" t="n">
        <v>16</v>
      </c>
      <c r="H29" s="6" t="n">
        <f aca="false">IF(G29="","",ROUND(((G29-Q$9)/Q$10)*Q$18+Q$17,1))</f>
        <v>16.6</v>
      </c>
      <c r="I29" s="17" t="n">
        <v>27.5</v>
      </c>
      <c r="J29" s="6" t="n">
        <f aca="false">IF(I29="","",ROUND(((I29-Q$11)/Q$12)*Q$18+Q$17,1))</f>
        <v>28.7</v>
      </c>
      <c r="K29" s="13" t="n">
        <v>1129</v>
      </c>
      <c r="L29" s="6" t="n">
        <f aca="false">IF(K29="","",ROUND(((K29-Q$13)/Q$14)*Q$18+Q$17,1))</f>
        <v>28.3</v>
      </c>
      <c r="M29" s="13" t="n">
        <v>31</v>
      </c>
      <c r="N29" s="6" t="n">
        <f aca="false">IF(M29="","",ROUND(((M29-Q$15)/Q$16)*Q$18+Q$17,1))</f>
        <v>31</v>
      </c>
      <c r="O29" s="12"/>
      <c r="T29" s="5" t="s">
        <v>143</v>
      </c>
      <c r="U29" s="5" t="s">
        <v>167</v>
      </c>
      <c r="V29" s="6" t="n">
        <f aca="false">IFERROR(MIN(ROUND(MAX(0,AVERAGE(Y29,AA29,AC29,AE29,AG29)),1),27.2),"")</f>
        <v>26.5</v>
      </c>
      <c r="W29" s="7" t="n">
        <f aca="false">COUNT(X29,Z29,AB29,AD29,AF29)</f>
        <v>5</v>
      </c>
      <c r="X29" s="13" t="n">
        <v>33</v>
      </c>
      <c r="Y29" s="6" t="n">
        <f aca="false">IF(X29="","",ROUND(((X29-AJ$7)/AJ$8)*AJ$18+AJ$17,1))</f>
        <v>29.7</v>
      </c>
      <c r="Z29" s="13" t="n">
        <v>15</v>
      </c>
      <c r="AA29" s="6" t="n">
        <f aca="false">IF(Z29="","",ROUND(((Z29-AJ$9)/AJ$10)*AJ$18+AJ$17,1))</f>
        <v>17.4</v>
      </c>
      <c r="AB29" s="13" t="n">
        <v>25.8</v>
      </c>
      <c r="AC29" s="6" t="n">
        <f aca="false">IF(AB29="","",ROUND(((AB29-AJ$11)/AJ$12)*AJ$18+AJ$17,1))</f>
        <v>29.1</v>
      </c>
      <c r="AD29" s="17" t="n">
        <v>1058.4</v>
      </c>
      <c r="AE29" s="6" t="n">
        <f aca="false">IF(AD29="","",ROUND(((AD29-AJ$13)/AJ$14)*AJ$18+AJ$17,1))</f>
        <v>26.3</v>
      </c>
      <c r="AF29" s="13" t="n">
        <v>30</v>
      </c>
      <c r="AG29" s="6" t="n">
        <f aca="false">IF(AF29="","",ROUND(((AF29-AJ$15)/AJ$16)*AJ$18+AJ$17,1))</f>
        <v>30</v>
      </c>
      <c r="AH29" s="12"/>
      <c r="AM29" s="5" t="s">
        <v>143</v>
      </c>
      <c r="AN29" s="5" t="s">
        <v>166</v>
      </c>
      <c r="AO29" s="6" t="n">
        <f aca="false">IFERROR(ROUND(MAX(0,AVERAGE(AR29,AT29)),1),"")</f>
        <v>10.8</v>
      </c>
      <c r="AP29" s="7" t="n">
        <f aca="false">COUNT(AQ29,AS29)</f>
        <v>2</v>
      </c>
      <c r="AQ29" s="13" t="n">
        <v>12</v>
      </c>
      <c r="AR29" s="6" t="n">
        <f aca="false">IF(AQ29="","",ROUND(((AQ29-BC$7)/BC$8)*BC$12+BC$11,1))</f>
        <v>10.6</v>
      </c>
      <c r="AS29" s="13" t="n">
        <v>29</v>
      </c>
      <c r="AT29" s="6" t="n">
        <f aca="false">IF(AS29="","",ROUND(((AS29-BC$9)/BC$10)*BC$12+BC$11,1))</f>
        <v>10.9</v>
      </c>
      <c r="AU29" s="14"/>
      <c r="AV29" s="14"/>
      <c r="AW29" s="14"/>
      <c r="AX29" s="14"/>
      <c r="AY29" s="14"/>
      <c r="AZ29" s="14"/>
      <c r="BA29" s="12"/>
    </row>
    <row r="30" customFormat="false" ht="15" hidden="false" customHeight="true" outlineLevel="0" collapsed="false">
      <c r="A30" s="5" t="s">
        <v>143</v>
      </c>
      <c r="B30" s="5" t="s">
        <v>168</v>
      </c>
      <c r="C30" s="6" t="n">
        <f aca="false">IFERROR(ROUND(MAX(0,AVERAGE(F30,H30,J30,L30,N30)),1),"")</f>
        <v>24.5</v>
      </c>
      <c r="D30" s="7" t="n">
        <f aca="false">COUNT(E30,G30,I30,K30,M30)</f>
        <v>5</v>
      </c>
      <c r="E30" s="13" t="n">
        <v>37</v>
      </c>
      <c r="F30" s="6" t="n">
        <f aca="false">IF(E30="","",ROUND(((E30-Q$7)/Q$8)*Q$18+Q$17,1))</f>
        <v>32.5</v>
      </c>
      <c r="G30" s="13" t="n">
        <v>13</v>
      </c>
      <c r="H30" s="6" t="n">
        <f aca="false">IF(G30="","",ROUND(((G30-Q$9)/Q$10)*Q$18+Q$17,1))</f>
        <v>12</v>
      </c>
      <c r="I30" s="17" t="n">
        <v>24.8</v>
      </c>
      <c r="J30" s="6" t="n">
        <f aca="false">IF(I30="","",ROUND(((I30-Q$11)/Q$12)*Q$18+Q$17,1))</f>
        <v>24.8</v>
      </c>
      <c r="K30" s="13" t="n">
        <v>1016</v>
      </c>
      <c r="L30" s="6" t="n">
        <f aca="false">IF(K30="","",ROUND(((K30-Q$13)/Q$14)*Q$18+Q$17,1))</f>
        <v>25.3</v>
      </c>
      <c r="M30" s="13" t="n">
        <v>28</v>
      </c>
      <c r="N30" s="6" t="n">
        <f aca="false">IF(M30="","",ROUND(((M30-Q$15)/Q$16)*Q$18+Q$17,1))</f>
        <v>28</v>
      </c>
      <c r="O30" s="12"/>
      <c r="T30" s="5" t="s">
        <v>143</v>
      </c>
      <c r="U30" s="5" t="s">
        <v>168</v>
      </c>
      <c r="V30" s="6" t="n">
        <f aca="false">IFERROR(MIN(ROUND(MAX(0,AVERAGE(Y30,AA30,AC30,AE30,AG30)),1),24.5),"")</f>
        <v>23.7</v>
      </c>
      <c r="W30" s="7" t="n">
        <f aca="false">COUNT(X30,Z30,AB30,AD30,AF30)</f>
        <v>5</v>
      </c>
      <c r="X30" s="13" t="n">
        <v>34</v>
      </c>
      <c r="Y30" s="6" t="n">
        <f aca="false">IF(X30="","",ROUND(((X30-AJ$7)/AJ$8)*AJ$18+AJ$17,1))</f>
        <v>30.6</v>
      </c>
      <c r="Z30" s="13" t="n">
        <v>12</v>
      </c>
      <c r="AA30" s="6" t="n">
        <f aca="false">IF(Z30="","",ROUND(((Z30-AJ$9)/AJ$10)*AJ$18+AJ$17,1))</f>
        <v>12.7</v>
      </c>
      <c r="AB30" s="13" t="n">
        <v>22.9</v>
      </c>
      <c r="AC30" s="6" t="n">
        <f aca="false">IF(AB30="","",ROUND(((AB30-AJ$11)/AJ$12)*AJ$18+AJ$17,1))</f>
        <v>24.9</v>
      </c>
      <c r="AD30" s="17" t="n">
        <v>937.8</v>
      </c>
      <c r="AE30" s="6" t="n">
        <f aca="false">IF(AD30="","",ROUND(((AD30-AJ$13)/AJ$14)*AJ$18+AJ$17,1))</f>
        <v>23.1</v>
      </c>
      <c r="AF30" s="13" t="n">
        <v>27</v>
      </c>
      <c r="AG30" s="6" t="n">
        <f aca="false">IF(AF30="","",ROUND(((AF30-AJ$15)/AJ$16)*AJ$18+AJ$17,1))</f>
        <v>27</v>
      </c>
      <c r="AH30" s="12"/>
      <c r="AM30" s="5" t="s">
        <v>143</v>
      </c>
      <c r="AN30" s="5" t="s">
        <v>169</v>
      </c>
      <c r="AO30" s="6" t="n">
        <f aca="false">IFERROR(ROUND(MAX(0,AVERAGE(AR30,AT30)),1),"")</f>
        <v>10.3</v>
      </c>
      <c r="AP30" s="7" t="n">
        <f aca="false">COUNT(AQ30,AS30)</f>
        <v>2</v>
      </c>
      <c r="AQ30" s="13" t="n">
        <v>12</v>
      </c>
      <c r="AR30" s="6" t="n">
        <f aca="false">IF(AQ30="","",ROUND(((AQ30-BC$7)/BC$8)*BC$12+BC$11,1))</f>
        <v>10.6</v>
      </c>
      <c r="AS30" s="13" t="n">
        <v>28</v>
      </c>
      <c r="AT30" s="6" t="n">
        <f aca="false">IF(AS30="","",ROUND(((AS30-BC$9)/BC$10)*BC$12+BC$11,1))</f>
        <v>9.9</v>
      </c>
      <c r="AU30" s="14"/>
      <c r="AV30" s="14"/>
      <c r="AW30" s="14"/>
      <c r="AX30" s="14"/>
      <c r="AY30" s="14"/>
      <c r="AZ30" s="14"/>
      <c r="BA30" s="12"/>
    </row>
    <row r="31" customFormat="false" ht="15" hidden="false" customHeight="true" outlineLevel="0" collapsed="false">
      <c r="A31" s="5" t="s">
        <v>143</v>
      </c>
      <c r="B31" s="5" t="s">
        <v>169</v>
      </c>
      <c r="C31" s="6" t="n">
        <f aca="false">IFERROR(ROUND(MAX(0,AVERAGE(F31,H31,J31,L31,N31)),1),"")</f>
        <v>24.1</v>
      </c>
      <c r="D31" s="7" t="n">
        <f aca="false">COUNT(E31,G31,I31,K31,M31)</f>
        <v>5</v>
      </c>
      <c r="E31" s="13" t="n">
        <v>31</v>
      </c>
      <c r="F31" s="6" t="n">
        <f aca="false">IF(E31="","",ROUND(((E31-Q$7)/Q$8)*Q$18+Q$17,1))</f>
        <v>27.1</v>
      </c>
      <c r="G31" s="13" t="n">
        <v>15</v>
      </c>
      <c r="H31" s="6" t="n">
        <f aca="false">IF(G31="","",ROUND(((G31-Q$9)/Q$10)*Q$18+Q$17,1))</f>
        <v>15.1</v>
      </c>
      <c r="I31" s="17" t="n">
        <v>26.9</v>
      </c>
      <c r="J31" s="6" t="n">
        <f aca="false">IF(I31="","",ROUND(((I31-Q$11)/Q$12)*Q$18+Q$17,1))</f>
        <v>27.8</v>
      </c>
      <c r="K31" s="13" t="n">
        <v>799</v>
      </c>
      <c r="L31" s="6" t="n">
        <f aca="false">IF(K31="","",ROUND(((K31-Q$13)/Q$14)*Q$18+Q$17,1))</f>
        <v>19.6</v>
      </c>
      <c r="M31" s="13" t="n">
        <v>31</v>
      </c>
      <c r="N31" s="6" t="n">
        <f aca="false">IF(M31="","",ROUND(((M31-Q$15)/Q$16)*Q$18+Q$17,1))</f>
        <v>31</v>
      </c>
      <c r="O31" s="12"/>
      <c r="T31" s="5" t="s">
        <v>143</v>
      </c>
      <c r="U31" s="5" t="s">
        <v>169</v>
      </c>
      <c r="V31" s="6" t="n">
        <f aca="false">IFERROR(MIN(ROUND(MAX(0,AVERAGE(Y31,AA31,AC31,AE31,AG31)),1),24.1),"")</f>
        <v>23.3</v>
      </c>
      <c r="W31" s="7" t="n">
        <f aca="false">COUNT(X31,Z31,AB31,AD31,AF31)</f>
        <v>5</v>
      </c>
      <c r="X31" s="13" t="n">
        <v>29</v>
      </c>
      <c r="Y31" s="6" t="n">
        <f aca="false">IF(X31="","",ROUND(((X31-AJ$7)/AJ$8)*AJ$18+AJ$17,1))</f>
        <v>26.1</v>
      </c>
      <c r="Z31" s="13" t="n">
        <v>13.5</v>
      </c>
      <c r="AA31" s="6" t="n">
        <f aca="false">IF(Z31="","",ROUND(((Z31-AJ$9)/AJ$10)*AJ$18+AJ$17,1))</f>
        <v>15</v>
      </c>
      <c r="AB31" s="13" t="n">
        <v>25.2</v>
      </c>
      <c r="AC31" s="6" t="n">
        <f aca="false">IF(AB31="","",ROUND(((AB31-AJ$11)/AJ$12)*AJ$18+AJ$17,1))</f>
        <v>28.3</v>
      </c>
      <c r="AD31" s="17" t="n">
        <v>747.5</v>
      </c>
      <c r="AE31" s="6" t="n">
        <f aca="false">IF(AD31="","",ROUND(((AD31-AJ$13)/AJ$14)*AJ$18+AJ$17,1))</f>
        <v>18.1</v>
      </c>
      <c r="AF31" s="13" t="n">
        <v>29</v>
      </c>
      <c r="AG31" s="6" t="n">
        <f aca="false">IF(AF31="","",ROUND(((AF31-AJ$15)/AJ$16)*AJ$18+AJ$17,1))</f>
        <v>29</v>
      </c>
      <c r="AH31" s="12"/>
      <c r="AM31" s="5" t="s">
        <v>143</v>
      </c>
      <c r="AN31" s="5" t="s">
        <v>170</v>
      </c>
      <c r="AO31" s="6" t="n">
        <f aca="false">IFERROR(ROUND(MAX(0,AVERAGE(AR31,AT31)),1),"")</f>
        <v>9.2</v>
      </c>
      <c r="AP31" s="7" t="n">
        <f aca="false">COUNT(AQ31,AS31)</f>
        <v>2</v>
      </c>
      <c r="AQ31" s="13" t="n">
        <v>11</v>
      </c>
      <c r="AR31" s="6" t="n">
        <f aca="false">IF(AQ31="","",ROUND(((AQ31-BC$7)/BC$8)*BC$12+BC$11,1))</f>
        <v>9.3</v>
      </c>
      <c r="AS31" s="13" t="n">
        <v>27</v>
      </c>
      <c r="AT31" s="6" t="n">
        <f aca="false">IF(AS31="","",ROUND(((AS31-BC$9)/BC$10)*BC$12+BC$11,1))</f>
        <v>9</v>
      </c>
      <c r="AU31" s="14"/>
      <c r="AV31" s="14"/>
      <c r="AW31" s="14"/>
      <c r="AX31" s="14"/>
      <c r="AY31" s="14"/>
      <c r="AZ31" s="14"/>
      <c r="BA31" s="12"/>
    </row>
    <row r="32" customFormat="false" ht="15" hidden="false" customHeight="true" outlineLevel="0" collapsed="false">
      <c r="A32" s="5" t="s">
        <v>143</v>
      </c>
      <c r="B32" s="5" t="s">
        <v>171</v>
      </c>
      <c r="C32" s="6" t="n">
        <f aca="false">IFERROR(ROUND(MAX(0,AVERAGE(F32,H32,J32,L32,N32)),1),"")</f>
        <v>23.9</v>
      </c>
      <c r="D32" s="7" t="n">
        <f aca="false">COUNT(E32,G32,I32,K32,M32)</f>
        <v>5</v>
      </c>
      <c r="E32" s="13" t="n">
        <v>31</v>
      </c>
      <c r="F32" s="6" t="n">
        <f aca="false">IF(E32="","",ROUND(((E32-Q$7)/Q$8)*Q$18+Q$17,1))</f>
        <v>27.1</v>
      </c>
      <c r="G32" s="13" t="n">
        <v>12</v>
      </c>
      <c r="H32" s="6" t="n">
        <f aca="false">IF(G32="","",ROUND(((G32-Q$9)/Q$10)*Q$18+Q$17,1))</f>
        <v>10.4</v>
      </c>
      <c r="I32" s="17" t="n">
        <v>28</v>
      </c>
      <c r="J32" s="6" t="n">
        <f aca="false">IF(I32="","",ROUND(((I32-Q$11)/Q$12)*Q$18+Q$17,1))</f>
        <v>29.4</v>
      </c>
      <c r="K32" s="13" t="n">
        <v>1177</v>
      </c>
      <c r="L32" s="6" t="n">
        <f aca="false">IF(K32="","",ROUND(((K32-Q$13)/Q$14)*Q$18+Q$17,1))</f>
        <v>29.6</v>
      </c>
      <c r="M32" s="13" t="n">
        <v>23</v>
      </c>
      <c r="N32" s="6" t="n">
        <f aca="false">IF(M32="","",ROUND(((M32-Q$15)/Q$16)*Q$18+Q$17,1))</f>
        <v>23</v>
      </c>
      <c r="O32" s="12"/>
      <c r="T32" s="5" t="s">
        <v>143</v>
      </c>
      <c r="U32" s="5" t="s">
        <v>171</v>
      </c>
      <c r="V32" s="6" t="n">
        <f aca="false">IFERROR(MIN(ROUND(MAX(0,AVERAGE(Y32,AA32,AC32,AE32,AG32)),1),23.8),"")</f>
        <v>23.7</v>
      </c>
      <c r="W32" s="7" t="n">
        <f aca="false">COUNT(X32,Z32,AB32,AD32,AF32)</f>
        <v>5</v>
      </c>
      <c r="X32" s="13" t="n">
        <v>29</v>
      </c>
      <c r="Y32" s="6" t="n">
        <f aca="false">IF(X32="","",ROUND(((X32-AJ$7)/AJ$8)*AJ$18+AJ$17,1))</f>
        <v>26.1</v>
      </c>
      <c r="Z32" s="13" t="n">
        <v>11</v>
      </c>
      <c r="AA32" s="6" t="n">
        <f aca="false">IF(Z32="","",ROUND(((Z32-AJ$9)/AJ$10)*AJ$18+AJ$17,1))</f>
        <v>11.2</v>
      </c>
      <c r="AB32" s="13" t="n">
        <v>26.2</v>
      </c>
      <c r="AC32" s="6" t="n">
        <f aca="false">IF(AB32="","",ROUND(((AB32-AJ$11)/AJ$12)*AJ$18+AJ$17,1))</f>
        <v>29.7</v>
      </c>
      <c r="AD32" s="17" t="n">
        <v>1101.1</v>
      </c>
      <c r="AE32" s="6" t="n">
        <f aca="false">IF(AD32="","",ROUND(((AD32-AJ$13)/AJ$14)*AJ$18+AJ$17,1))</f>
        <v>27.4</v>
      </c>
      <c r="AF32" s="13" t="n">
        <v>24</v>
      </c>
      <c r="AG32" s="6" t="n">
        <f aca="false">IF(AF32="","",ROUND(((AF32-AJ$15)/AJ$16)*AJ$18+AJ$17,1))</f>
        <v>24</v>
      </c>
      <c r="AH32" s="12"/>
      <c r="AM32" s="5" t="s">
        <v>143</v>
      </c>
      <c r="AN32" s="5" t="s">
        <v>172</v>
      </c>
      <c r="AO32" s="6" t="n">
        <f aca="false">IFERROR(ROUND(MAX(0,AVERAGE(AR32,AT32)),1),"")</f>
        <v>9</v>
      </c>
      <c r="AP32" s="7" t="n">
        <f aca="false">COUNT(AQ32,AS32)</f>
        <v>2</v>
      </c>
      <c r="AQ32" s="13" t="n">
        <v>10</v>
      </c>
      <c r="AR32" s="6" t="n">
        <f aca="false">IF(AQ32="","",ROUND(((AQ32-BC$7)/BC$8)*BC$12+BC$11,1))</f>
        <v>8.1</v>
      </c>
      <c r="AS32" s="13" t="n">
        <v>28</v>
      </c>
      <c r="AT32" s="6" t="n">
        <f aca="false">IF(AS32="","",ROUND(((AS32-BC$9)/BC$10)*BC$12+BC$11,1))</f>
        <v>9.9</v>
      </c>
      <c r="AU32" s="14"/>
      <c r="AV32" s="14"/>
      <c r="AW32" s="14"/>
      <c r="AX32" s="14"/>
      <c r="AY32" s="14"/>
      <c r="AZ32" s="14"/>
      <c r="BA32" s="12"/>
    </row>
    <row r="33" customFormat="false" ht="15" hidden="false" customHeight="true" outlineLevel="0" collapsed="false">
      <c r="A33" s="5" t="s">
        <v>143</v>
      </c>
      <c r="B33" s="5" t="s">
        <v>170</v>
      </c>
      <c r="C33" s="6" t="n">
        <f aca="false">IFERROR(ROUND(MAX(0,AVERAGE(F33,H33,J33,L33,N33)),1),"")</f>
        <v>23.6</v>
      </c>
      <c r="D33" s="7" t="n">
        <f aca="false">COUNT(E33,G33,I33,K33,M33)</f>
        <v>5</v>
      </c>
      <c r="E33" s="13" t="n">
        <v>31</v>
      </c>
      <c r="F33" s="6" t="n">
        <f aca="false">IF(E33="","",ROUND(((E33-Q$7)/Q$8)*Q$18+Q$17,1))</f>
        <v>27.1</v>
      </c>
      <c r="G33" s="13" t="n">
        <v>13</v>
      </c>
      <c r="H33" s="6" t="n">
        <f aca="false">IF(G33="","",ROUND(((G33-Q$9)/Q$10)*Q$18+Q$17,1))</f>
        <v>12</v>
      </c>
      <c r="I33" s="17" t="n">
        <v>25.9</v>
      </c>
      <c r="J33" s="6" t="n">
        <f aca="false">IF(I33="","",ROUND(((I33-Q$11)/Q$12)*Q$18+Q$17,1))</f>
        <v>26.4</v>
      </c>
      <c r="K33" s="13" t="n">
        <v>993</v>
      </c>
      <c r="L33" s="6" t="n">
        <f aca="false">IF(K33="","",ROUND(((K33-Q$13)/Q$14)*Q$18+Q$17,1))</f>
        <v>24.7</v>
      </c>
      <c r="M33" s="13" t="n">
        <v>28</v>
      </c>
      <c r="N33" s="6" t="n">
        <f aca="false">IF(M33="","",ROUND(((M33-Q$15)/Q$16)*Q$18+Q$17,1))</f>
        <v>28</v>
      </c>
      <c r="O33" s="12"/>
      <c r="T33" s="5" t="s">
        <v>143</v>
      </c>
      <c r="U33" s="5" t="s">
        <v>170</v>
      </c>
      <c r="V33" s="6" t="n">
        <f aca="false">IFERROR(MIN(ROUND(MAX(0,AVERAGE(Y33,AA33,AC33,AE33,AG33)),1),23.6),"")</f>
        <v>23.1</v>
      </c>
      <c r="W33" s="7" t="n">
        <f aca="false">COUNT(X33,Z33,AB33,AD33,AF33)</f>
        <v>5</v>
      </c>
      <c r="X33" s="13" t="n">
        <v>29</v>
      </c>
      <c r="Y33" s="6" t="n">
        <f aca="false">IF(X33="","",ROUND(((X33-AJ$7)/AJ$8)*AJ$18+AJ$17,1))</f>
        <v>26.1</v>
      </c>
      <c r="Z33" s="13" t="n">
        <v>12</v>
      </c>
      <c r="AA33" s="6" t="n">
        <f aca="false">IF(Z33="","",ROUND(((Z33-AJ$9)/AJ$10)*AJ$18+AJ$17,1))</f>
        <v>12.7</v>
      </c>
      <c r="AB33" s="13" t="n">
        <v>24.2</v>
      </c>
      <c r="AC33" s="6" t="n">
        <f aca="false">IF(AB33="","",ROUND(((AB33-AJ$11)/AJ$12)*AJ$18+AJ$17,1))</f>
        <v>26.8</v>
      </c>
      <c r="AD33" s="17" t="n">
        <v>928.9</v>
      </c>
      <c r="AE33" s="6" t="n">
        <f aca="false">IF(AD33="","",ROUND(((AD33-AJ$13)/AJ$14)*AJ$18+AJ$17,1))</f>
        <v>22.9</v>
      </c>
      <c r="AF33" s="13" t="n">
        <v>27</v>
      </c>
      <c r="AG33" s="6" t="n">
        <f aca="false">IF(AF33="","",ROUND(((AF33-AJ$15)/AJ$16)*AJ$18+AJ$17,1))</f>
        <v>27</v>
      </c>
      <c r="AH33" s="12"/>
      <c r="AM33" s="5" t="s">
        <v>143</v>
      </c>
      <c r="AN33" s="5" t="s">
        <v>173</v>
      </c>
      <c r="AO33" s="6" t="n">
        <f aca="false">IFERROR(ROUND(MAX(0,AVERAGE(AR33,AT33)),1),"")</f>
        <v>8.7</v>
      </c>
      <c r="AP33" s="7" t="n">
        <f aca="false">COUNT(AQ33,AS33)</f>
        <v>2</v>
      </c>
      <c r="AQ33" s="13" t="n">
        <v>8</v>
      </c>
      <c r="AR33" s="6" t="n">
        <f aca="false">IF(AQ33="","",ROUND(((AQ33-BC$7)/BC$8)*BC$12+BC$11,1))</f>
        <v>5.6</v>
      </c>
      <c r="AS33" s="13" t="n">
        <v>30</v>
      </c>
      <c r="AT33" s="6" t="n">
        <f aca="false">IF(AS33="","",ROUND(((AS33-BC$9)/BC$10)*BC$12+BC$11,1))</f>
        <v>11.8</v>
      </c>
      <c r="AU33" s="14"/>
      <c r="AV33" s="14"/>
      <c r="AW33" s="14"/>
      <c r="AX33" s="14"/>
      <c r="AY33" s="14"/>
      <c r="AZ33" s="14"/>
      <c r="BA33" s="12"/>
    </row>
    <row r="34" customFormat="false" ht="15" hidden="false" customHeight="true" outlineLevel="0" collapsed="false">
      <c r="A34" s="5" t="s">
        <v>143</v>
      </c>
      <c r="B34" s="5" t="s">
        <v>173</v>
      </c>
      <c r="C34" s="6" t="n">
        <f aca="false">IFERROR(ROUND(MAX(0,AVERAGE(F34,H34,J34,L34,N34)),1),"")</f>
        <v>22.9</v>
      </c>
      <c r="D34" s="7" t="n">
        <f aca="false">COUNT(E34,G34,I34,K34,M34)</f>
        <v>5</v>
      </c>
      <c r="E34" s="13" t="n">
        <v>31</v>
      </c>
      <c r="F34" s="6" t="n">
        <f aca="false">IF(E34="","",ROUND(((E34-Q$7)/Q$8)*Q$18+Q$17,1))</f>
        <v>27.1</v>
      </c>
      <c r="G34" s="13" t="n">
        <v>10</v>
      </c>
      <c r="H34" s="6" t="n">
        <f aca="false">IF(G34="","",ROUND(((G34-Q$9)/Q$10)*Q$18+Q$17,1))</f>
        <v>7.3</v>
      </c>
      <c r="I34" s="17" t="n">
        <v>24.9</v>
      </c>
      <c r="J34" s="6" t="n">
        <f aca="false">IF(I34="","",ROUND(((I34-Q$11)/Q$12)*Q$18+Q$17,1))</f>
        <v>24.9</v>
      </c>
      <c r="K34" s="13" t="n">
        <v>970</v>
      </c>
      <c r="L34" s="6" t="n">
        <f aca="false">IF(K34="","",ROUND(((K34-Q$13)/Q$14)*Q$18+Q$17,1))</f>
        <v>24.1</v>
      </c>
      <c r="M34" s="13" t="n">
        <v>31</v>
      </c>
      <c r="N34" s="6" t="n">
        <f aca="false">IF(M34="","",ROUND(((M34-Q$15)/Q$16)*Q$18+Q$17,1))</f>
        <v>31</v>
      </c>
      <c r="O34" s="12"/>
      <c r="T34" s="5" t="s">
        <v>143</v>
      </c>
      <c r="U34" s="5" t="s">
        <v>173</v>
      </c>
      <c r="V34" s="6" t="n">
        <f aca="false">IFERROR(MIN(ROUND(MAX(0,AVERAGE(Y34,AA34,AC34,AE34,AG34)),1),22.8),"")</f>
        <v>22.4</v>
      </c>
      <c r="W34" s="7" t="n">
        <f aca="false">COUNT(X34,Z34,AB34,AD34,AF34)</f>
        <v>5</v>
      </c>
      <c r="X34" s="13" t="n">
        <v>29</v>
      </c>
      <c r="Y34" s="6" t="n">
        <f aca="false">IF(X34="","",ROUND(((X34-AJ$7)/AJ$8)*AJ$18+AJ$17,1))</f>
        <v>26.1</v>
      </c>
      <c r="Z34" s="13" t="n">
        <v>9</v>
      </c>
      <c r="AA34" s="6" t="n">
        <f aca="false">IF(Z34="","",ROUND(((Z34-AJ$9)/AJ$10)*AJ$18+AJ$17,1))</f>
        <v>8.1</v>
      </c>
      <c r="AB34" s="13" t="n">
        <v>23.3</v>
      </c>
      <c r="AC34" s="6" t="n">
        <f aca="false">IF(AB34="","",ROUND(((AB34-AJ$11)/AJ$12)*AJ$18+AJ$17,1))</f>
        <v>25.5</v>
      </c>
      <c r="AD34" s="17" t="n">
        <v>907.4</v>
      </c>
      <c r="AE34" s="6" t="n">
        <f aca="false">IF(AD34="","",ROUND(((AD34-AJ$13)/AJ$14)*AJ$18+AJ$17,1))</f>
        <v>22.3</v>
      </c>
      <c r="AF34" s="13" t="n">
        <v>30</v>
      </c>
      <c r="AG34" s="6" t="n">
        <f aca="false">IF(AF34="","",ROUND(((AF34-AJ$15)/AJ$16)*AJ$18+AJ$17,1))</f>
        <v>30</v>
      </c>
      <c r="AH34" s="12"/>
      <c r="AM34" s="5" t="s">
        <v>143</v>
      </c>
      <c r="AN34" s="5" t="s">
        <v>168</v>
      </c>
      <c r="AO34" s="6" t="n">
        <f aca="false">IFERROR(ROUND(MAX(0,AVERAGE(AR34,AT34)),1),"")</f>
        <v>8.7</v>
      </c>
      <c r="AP34" s="7" t="n">
        <f aca="false">COUNT(AQ34,AS34)</f>
        <v>2</v>
      </c>
      <c r="AQ34" s="13" t="n">
        <v>11</v>
      </c>
      <c r="AR34" s="6" t="n">
        <f aca="false">IF(AQ34="","",ROUND(((AQ34-BC$7)/BC$8)*BC$12+BC$11,1))</f>
        <v>9.3</v>
      </c>
      <c r="AS34" s="13" t="n">
        <v>26</v>
      </c>
      <c r="AT34" s="6" t="n">
        <f aca="false">IF(AS34="","",ROUND(((AS34-BC$9)/BC$10)*BC$12+BC$11,1))</f>
        <v>8</v>
      </c>
      <c r="AU34" s="14"/>
      <c r="AV34" s="14"/>
      <c r="AW34" s="14"/>
      <c r="AX34" s="14"/>
      <c r="AY34" s="14"/>
      <c r="AZ34" s="14"/>
      <c r="BA34" s="12"/>
    </row>
    <row r="35" customFormat="false" ht="15" hidden="false" customHeight="true" outlineLevel="0" collapsed="false">
      <c r="A35" s="5" t="s">
        <v>143</v>
      </c>
      <c r="B35" s="5" t="s">
        <v>174</v>
      </c>
      <c r="C35" s="6" t="n">
        <f aca="false">IFERROR(ROUND(MAX(0,AVERAGE(F35,H35,J35,L35,N35)),1),"")</f>
        <v>22.5</v>
      </c>
      <c r="D35" s="7" t="n">
        <f aca="false">COUNT(E35,G35,I35,K35,M35)</f>
        <v>5</v>
      </c>
      <c r="E35" s="13" t="n">
        <v>29</v>
      </c>
      <c r="F35" s="6" t="n">
        <f aca="false">IF(E35="","",ROUND(((E35-Q$7)/Q$8)*Q$18+Q$17,1))</f>
        <v>25.3</v>
      </c>
      <c r="G35" s="13" t="n">
        <v>11</v>
      </c>
      <c r="H35" s="6" t="n">
        <f aca="false">IF(G35="","",ROUND(((G35-Q$9)/Q$10)*Q$18+Q$17,1))</f>
        <v>8.9</v>
      </c>
      <c r="I35" s="17" t="n">
        <v>26.7</v>
      </c>
      <c r="J35" s="6" t="n">
        <f aca="false">IF(I35="","",ROUND(((I35-Q$11)/Q$12)*Q$18+Q$17,1))</f>
        <v>27.5</v>
      </c>
      <c r="K35" s="13" t="n">
        <v>959</v>
      </c>
      <c r="L35" s="6" t="n">
        <f aca="false">IF(K35="","",ROUND(((K35-Q$13)/Q$14)*Q$18+Q$17,1))</f>
        <v>23.8</v>
      </c>
      <c r="M35" s="13" t="n">
        <v>27</v>
      </c>
      <c r="N35" s="6" t="n">
        <f aca="false">IF(M35="","",ROUND(((M35-Q$15)/Q$16)*Q$18+Q$17,1))</f>
        <v>27</v>
      </c>
      <c r="O35" s="12"/>
      <c r="T35" s="5" t="s">
        <v>143</v>
      </c>
      <c r="U35" s="5" t="s">
        <v>174</v>
      </c>
      <c r="V35" s="6" t="n">
        <f aca="false">IFERROR(MIN(ROUND(MAX(0,AVERAGE(Y35,AA35,AC35,AE35,AG35)),1),22.4),"")</f>
        <v>22.4</v>
      </c>
      <c r="W35" s="7" t="n">
        <f aca="false">COUNT(X35,Z35,AB35,AD35,AF35)</f>
        <v>5</v>
      </c>
      <c r="X35" s="13" t="n">
        <v>28</v>
      </c>
      <c r="Y35" s="6" t="n">
        <f aca="false">IF(X35="","",ROUND(((X35-AJ$7)/AJ$8)*AJ$18+AJ$17,1))</f>
        <v>25.2</v>
      </c>
      <c r="Z35" s="13" t="n">
        <v>10</v>
      </c>
      <c r="AA35" s="6" t="n">
        <f aca="false">IF(Z35="","",ROUND(((Z35-AJ$9)/AJ$10)*AJ$18+AJ$17,1))</f>
        <v>9.6</v>
      </c>
      <c r="AB35" s="13" t="n">
        <v>25.7</v>
      </c>
      <c r="AC35" s="6" t="n">
        <f aca="false">IF(AB35="","",ROUND(((AB35-AJ$11)/AJ$12)*AJ$18+AJ$17,1))</f>
        <v>29</v>
      </c>
      <c r="AD35" s="17" t="n">
        <v>923.5</v>
      </c>
      <c r="AE35" s="6" t="n">
        <f aca="false">IF(AD35="","",ROUND(((AD35-AJ$13)/AJ$14)*AJ$18+AJ$17,1))</f>
        <v>22.8</v>
      </c>
      <c r="AF35" s="13" t="n">
        <v>26</v>
      </c>
      <c r="AG35" s="6" t="n">
        <f aca="false">IF(AF35="","",ROUND(((AF35-AJ$15)/AJ$16)*AJ$18+AJ$17,1))</f>
        <v>26</v>
      </c>
      <c r="AH35" s="12"/>
      <c r="AM35" s="5" t="s">
        <v>143</v>
      </c>
      <c r="AN35" s="5" t="s">
        <v>171</v>
      </c>
      <c r="AO35" s="6" t="n">
        <f aca="false">IFERROR(ROUND(MAX(0,AVERAGE(AR35,AT35)),1),"")</f>
        <v>7.6</v>
      </c>
      <c r="AP35" s="7" t="n">
        <f aca="false">COUNT(AQ35,AS35)</f>
        <v>2</v>
      </c>
      <c r="AQ35" s="13" t="n">
        <v>10</v>
      </c>
      <c r="AR35" s="6" t="n">
        <f aca="false">IF(AQ35="","",ROUND(((AQ35-BC$7)/BC$8)*BC$12+BC$11,1))</f>
        <v>8.1</v>
      </c>
      <c r="AS35" s="13" t="n">
        <v>25</v>
      </c>
      <c r="AT35" s="6" t="n">
        <f aca="false">IF(AS35="","",ROUND(((AS35-BC$9)/BC$10)*BC$12+BC$11,1))</f>
        <v>7</v>
      </c>
      <c r="AU35" s="14"/>
      <c r="AV35" s="14"/>
      <c r="AW35" s="14"/>
      <c r="AX35" s="14"/>
      <c r="AY35" s="14"/>
      <c r="AZ35" s="14"/>
      <c r="BA35" s="12"/>
    </row>
    <row r="36" customFormat="false" ht="15" hidden="false" customHeight="true" outlineLevel="0" collapsed="false">
      <c r="A36" s="5" t="s">
        <v>143</v>
      </c>
      <c r="B36" s="5" t="s">
        <v>175</v>
      </c>
      <c r="C36" s="6" t="n">
        <f aca="false">IFERROR(ROUND(MAX(0,AVERAGE(F36,H36,J36,L36,N36)),1),"")</f>
        <v>21.2</v>
      </c>
      <c r="D36" s="7" t="n">
        <f aca="false">COUNT(E36,G36,I36,K36,M36)</f>
        <v>5</v>
      </c>
      <c r="E36" s="13" t="n">
        <v>31</v>
      </c>
      <c r="F36" s="6" t="n">
        <f aca="false">IF(E36="","",ROUND(((E36-Q$7)/Q$8)*Q$18+Q$17,1))</f>
        <v>27.1</v>
      </c>
      <c r="G36" s="13" t="n">
        <v>8</v>
      </c>
      <c r="H36" s="6" t="n">
        <f aca="false">IF(G36="","",ROUND(((G36-Q$9)/Q$10)*Q$18+Q$17,1))</f>
        <v>4.2</v>
      </c>
      <c r="I36" s="17" t="n">
        <v>24.2</v>
      </c>
      <c r="J36" s="6" t="n">
        <f aca="false">IF(I36="","",ROUND(((I36-Q$11)/Q$12)*Q$18+Q$17,1))</f>
        <v>23.9</v>
      </c>
      <c r="K36" s="13" t="n">
        <v>1004</v>
      </c>
      <c r="L36" s="6" t="n">
        <f aca="false">IF(K36="","",ROUND(((K36-Q$13)/Q$14)*Q$18+Q$17,1))</f>
        <v>25</v>
      </c>
      <c r="M36" s="13" t="n">
        <v>26</v>
      </c>
      <c r="N36" s="6" t="n">
        <f aca="false">IF(M36="","",ROUND(((M36-Q$15)/Q$16)*Q$18+Q$17,1))</f>
        <v>26</v>
      </c>
      <c r="O36" s="12"/>
      <c r="T36" s="5" t="s">
        <v>143</v>
      </c>
      <c r="U36" s="5" t="s">
        <v>175</v>
      </c>
      <c r="V36" s="6" t="n">
        <f aca="false">IFERROR(MIN(ROUND(MAX(0,AVERAGE(Y36,AA36,AC36,AE36,AG36)),1),21.2),"")</f>
        <v>21.1</v>
      </c>
      <c r="W36" s="7" t="n">
        <f aca="false">COUNT(X36,Z36,AB36,AD36,AF36)</f>
        <v>5</v>
      </c>
      <c r="X36" s="13" t="n">
        <v>29</v>
      </c>
      <c r="Y36" s="6" t="n">
        <f aca="false">IF(X36="","",ROUND(((X36-AJ$7)/AJ$8)*AJ$18+AJ$17,1))</f>
        <v>26.1</v>
      </c>
      <c r="Z36" s="13" t="n">
        <v>7.5</v>
      </c>
      <c r="AA36" s="6" t="n">
        <f aca="false">IF(Z36="","",ROUND(((Z36-AJ$9)/AJ$10)*AJ$18+AJ$17,1))</f>
        <v>5.7</v>
      </c>
      <c r="AB36" s="13" t="n">
        <v>22.7</v>
      </c>
      <c r="AC36" s="6" t="n">
        <f aca="false">IF(AB36="","",ROUND(((AB36-AJ$11)/AJ$12)*AJ$18+AJ$17,1))</f>
        <v>24.6</v>
      </c>
      <c r="AD36" s="17" t="n">
        <v>941.2</v>
      </c>
      <c r="AE36" s="6" t="n">
        <f aca="false">IF(AD36="","",ROUND(((AD36-AJ$13)/AJ$14)*AJ$18+AJ$17,1))</f>
        <v>23.2</v>
      </c>
      <c r="AF36" s="13" t="n">
        <v>26</v>
      </c>
      <c r="AG36" s="6" t="n">
        <f aca="false">IF(AF36="","",ROUND(((AF36-AJ$15)/AJ$16)*AJ$18+AJ$17,1))</f>
        <v>26</v>
      </c>
      <c r="AH36" s="12"/>
      <c r="AM36" s="5" t="s">
        <v>143</v>
      </c>
      <c r="AN36" s="5" t="s">
        <v>174</v>
      </c>
      <c r="AO36" s="6" t="n">
        <f aca="false">IFERROR(ROUND(MAX(0,AVERAGE(AR36,AT36)),1),"")</f>
        <v>7.5</v>
      </c>
      <c r="AP36" s="7" t="n">
        <f aca="false">COUNT(AQ36,AS36)</f>
        <v>2</v>
      </c>
      <c r="AQ36" s="13" t="n">
        <v>9</v>
      </c>
      <c r="AR36" s="6" t="n">
        <f aca="false">IF(AQ36="","",ROUND(((AQ36-BC$7)/BC$8)*BC$12+BC$11,1))</f>
        <v>6.9</v>
      </c>
      <c r="AS36" s="13" t="n">
        <v>26</v>
      </c>
      <c r="AT36" s="6" t="n">
        <f aca="false">IF(AS36="","",ROUND(((AS36-BC$9)/BC$10)*BC$12+BC$11,1))</f>
        <v>8</v>
      </c>
      <c r="AU36" s="14"/>
      <c r="AV36" s="14"/>
      <c r="AW36" s="14"/>
      <c r="AX36" s="14"/>
      <c r="AY36" s="14"/>
      <c r="AZ36" s="14"/>
      <c r="BA36" s="12"/>
    </row>
    <row r="37" customFormat="false" ht="15" hidden="false" customHeight="true" outlineLevel="0" collapsed="false">
      <c r="A37" s="5" t="s">
        <v>143</v>
      </c>
      <c r="B37" s="5" t="s">
        <v>172</v>
      </c>
      <c r="C37" s="6" t="n">
        <f aca="false">IFERROR(ROUND(MAX(0,AVERAGE(F37,H37,J37,L37,N37)),1),"")</f>
        <v>21.2</v>
      </c>
      <c r="D37" s="7" t="n">
        <f aca="false">COUNT(E37,G37,I37,K37,M37)</f>
        <v>5</v>
      </c>
      <c r="E37" s="13" t="n">
        <v>29</v>
      </c>
      <c r="F37" s="6" t="n">
        <f aca="false">IF(E37="","",ROUND(((E37-Q$7)/Q$8)*Q$18+Q$17,1))</f>
        <v>25.3</v>
      </c>
      <c r="G37" s="13" t="n">
        <v>12</v>
      </c>
      <c r="H37" s="6" t="n">
        <f aca="false">IF(G37="","",ROUND(((G37-Q$9)/Q$10)*Q$18+Q$17,1))</f>
        <v>10.4</v>
      </c>
      <c r="I37" s="17" t="n">
        <v>18.8</v>
      </c>
      <c r="J37" s="6" t="n">
        <f aca="false">IF(I37="","",ROUND(((I37-Q$11)/Q$12)*Q$18+Q$17,1))</f>
        <v>16</v>
      </c>
      <c r="K37" s="13" t="n">
        <v>936</v>
      </c>
      <c r="L37" s="6" t="n">
        <f aca="false">IF(K37="","",ROUND(((K37-Q$13)/Q$14)*Q$18+Q$17,1))</f>
        <v>23.2</v>
      </c>
      <c r="M37" s="13" t="n">
        <v>31</v>
      </c>
      <c r="N37" s="6" t="n">
        <f aca="false">IF(M37="","",ROUND(((M37-Q$15)/Q$16)*Q$18+Q$17,1))</f>
        <v>31</v>
      </c>
      <c r="O37" s="12"/>
      <c r="T37" s="5" t="s">
        <v>143</v>
      </c>
      <c r="U37" s="5" t="s">
        <v>172</v>
      </c>
      <c r="V37" s="6" t="n">
        <f aca="false">IFERROR(MIN(ROUND(MAX(0,AVERAGE(Y37,AA37,AC37,AE37,AG37)),1),21.1),"")</f>
        <v>20.8</v>
      </c>
      <c r="W37" s="7" t="n">
        <f aca="false">COUNT(X37,Z37,AB37,AD37,AF37)</f>
        <v>5</v>
      </c>
      <c r="X37" s="13" t="n">
        <v>28</v>
      </c>
      <c r="Y37" s="6" t="n">
        <f aca="false">IF(X37="","",ROUND(((X37-AJ$7)/AJ$8)*AJ$18+AJ$17,1))</f>
        <v>25.2</v>
      </c>
      <c r="Z37" s="13" t="n">
        <v>11</v>
      </c>
      <c r="AA37" s="6" t="n">
        <f aca="false">IF(Z37="","",ROUND(((Z37-AJ$9)/AJ$10)*AJ$18+AJ$17,1))</f>
        <v>11.2</v>
      </c>
      <c r="AB37" s="13" t="n">
        <v>17.6</v>
      </c>
      <c r="AC37" s="6" t="n">
        <f aca="false">IF(AB37="","",ROUND(((AB37-AJ$11)/AJ$12)*AJ$18+AJ$17,1))</f>
        <v>17.2</v>
      </c>
      <c r="AD37" s="17" t="n">
        <v>875.6</v>
      </c>
      <c r="AE37" s="6" t="n">
        <f aca="false">IF(AD37="","",ROUND(((AD37-AJ$13)/AJ$14)*AJ$18+AJ$17,1))</f>
        <v>21.5</v>
      </c>
      <c r="AF37" s="13" t="n">
        <v>29</v>
      </c>
      <c r="AG37" s="6" t="n">
        <f aca="false">IF(AF37="","",ROUND(((AF37-AJ$15)/AJ$16)*AJ$18+AJ$17,1))</f>
        <v>29</v>
      </c>
      <c r="AH37" s="12"/>
      <c r="AM37" s="5" t="s">
        <v>143</v>
      </c>
      <c r="AN37" s="5" t="s">
        <v>176</v>
      </c>
      <c r="AO37" s="6" t="n">
        <f aca="false">IFERROR(ROUND(MAX(0,AVERAGE(AR37,AT37)),1),"")</f>
        <v>7.1</v>
      </c>
      <c r="AP37" s="7" t="n">
        <f aca="false">COUNT(AQ37,AS37)</f>
        <v>2</v>
      </c>
      <c r="AQ37" s="13" t="n">
        <v>10</v>
      </c>
      <c r="AR37" s="6" t="n">
        <f aca="false">IF(AQ37="","",ROUND(((AQ37-BC$7)/BC$8)*BC$12+BC$11,1))</f>
        <v>8.1</v>
      </c>
      <c r="AS37" s="13" t="n">
        <v>24</v>
      </c>
      <c r="AT37" s="6" t="n">
        <f aca="false">IF(AS37="","",ROUND(((AS37-BC$9)/BC$10)*BC$12+BC$11,1))</f>
        <v>6.1</v>
      </c>
      <c r="AU37" s="14"/>
      <c r="AV37" s="14"/>
      <c r="AW37" s="14"/>
      <c r="AX37" s="14"/>
      <c r="AY37" s="14"/>
      <c r="AZ37" s="14"/>
      <c r="BA37" s="12"/>
    </row>
    <row r="38" customFormat="false" ht="15" hidden="false" customHeight="true" outlineLevel="0" collapsed="false">
      <c r="A38" s="5" t="s">
        <v>143</v>
      </c>
      <c r="B38" s="5" t="s">
        <v>176</v>
      </c>
      <c r="C38" s="6" t="n">
        <f aca="false">IFERROR(ROUND(MAX(0,AVERAGE(F38,H38,J38,L38,N38)),1),"")</f>
        <v>20.7</v>
      </c>
      <c r="D38" s="7" t="n">
        <f aca="false">COUNT(E38,G38,I38,K38,M38)</f>
        <v>5</v>
      </c>
      <c r="E38" s="13" t="n">
        <v>30</v>
      </c>
      <c r="F38" s="6" t="n">
        <f aca="false">IF(E38="","",ROUND(((E38-Q$7)/Q$8)*Q$18+Q$17,1))</f>
        <v>26.2</v>
      </c>
      <c r="G38" s="13" t="n">
        <v>12</v>
      </c>
      <c r="H38" s="6" t="n">
        <f aca="false">IF(G38="","",ROUND(((G38-Q$9)/Q$10)*Q$18+Q$17,1))</f>
        <v>10.4</v>
      </c>
      <c r="I38" s="17" t="n">
        <v>24.3</v>
      </c>
      <c r="J38" s="6" t="n">
        <f aca="false">IF(I38="","",ROUND(((I38-Q$11)/Q$12)*Q$18+Q$17,1))</f>
        <v>24</v>
      </c>
      <c r="K38" s="13" t="n">
        <v>742</v>
      </c>
      <c r="L38" s="6" t="n">
        <f aca="false">IF(K38="","",ROUND(((K38-Q$13)/Q$14)*Q$18+Q$17,1))</f>
        <v>18.1</v>
      </c>
      <c r="M38" s="13" t="n">
        <v>25</v>
      </c>
      <c r="N38" s="6" t="n">
        <f aca="false">IF(M38="","",ROUND(((M38-Q$15)/Q$16)*Q$18+Q$17,1))</f>
        <v>25</v>
      </c>
      <c r="O38" s="12"/>
      <c r="T38" s="5" t="s">
        <v>143</v>
      </c>
      <c r="U38" s="5" t="s">
        <v>176</v>
      </c>
      <c r="V38" s="6" t="n">
        <f aca="false">IFERROR(MIN(ROUND(MAX(0,AVERAGE(Y38,AA38,AC38,AE38,AG38)),1),20.7),"")</f>
        <v>20.5</v>
      </c>
      <c r="W38" s="7" t="n">
        <f aca="false">COUNT(X38,Z38,AB38,AD38,AF38)</f>
        <v>5</v>
      </c>
      <c r="X38" s="13" t="n">
        <v>28</v>
      </c>
      <c r="Y38" s="6" t="n">
        <f aca="false">IF(X38="","",ROUND(((X38-AJ$7)/AJ$8)*AJ$18+AJ$17,1))</f>
        <v>25.2</v>
      </c>
      <c r="Z38" s="13" t="n">
        <v>11</v>
      </c>
      <c r="AA38" s="6" t="n">
        <f aca="false">IF(Z38="","",ROUND(((Z38-AJ$9)/AJ$10)*AJ$18+AJ$17,1))</f>
        <v>11.2</v>
      </c>
      <c r="AB38" s="13" t="n">
        <v>22.7</v>
      </c>
      <c r="AC38" s="6" t="n">
        <f aca="false">IF(AB38="","",ROUND(((AB38-AJ$11)/AJ$12)*AJ$18+AJ$17,1))</f>
        <v>24.6</v>
      </c>
      <c r="AD38" s="17" t="n">
        <v>692.5</v>
      </c>
      <c r="AE38" s="6" t="n">
        <f aca="false">IF(AD38="","",ROUND(((AD38-AJ$13)/AJ$14)*AJ$18+AJ$17,1))</f>
        <v>16.7</v>
      </c>
      <c r="AF38" s="13" t="n">
        <v>25</v>
      </c>
      <c r="AG38" s="6" t="n">
        <f aca="false">IF(AF38="","",ROUND(((AF38-AJ$15)/AJ$16)*AJ$18+AJ$17,1))</f>
        <v>25</v>
      </c>
      <c r="AH38" s="12"/>
      <c r="AM38" s="5" t="s">
        <v>143</v>
      </c>
      <c r="AN38" s="5" t="s">
        <v>175</v>
      </c>
      <c r="AO38" s="6" t="n">
        <f aca="false">IFERROR(ROUND(MAX(0,AVERAGE(AR38,AT38)),1),"")</f>
        <v>6.2</v>
      </c>
      <c r="AP38" s="7" t="n">
        <f aca="false">COUNT(AQ38,AS38)</f>
        <v>2</v>
      </c>
      <c r="AQ38" s="13" t="n">
        <v>7</v>
      </c>
      <c r="AR38" s="6" t="n">
        <f aca="false">IF(AQ38="","",ROUND(((AQ38-BC$7)/BC$8)*BC$12+BC$11,1))</f>
        <v>4.4</v>
      </c>
      <c r="AS38" s="13" t="n">
        <v>26</v>
      </c>
      <c r="AT38" s="6" t="n">
        <f aca="false">IF(AS38="","",ROUND(((AS38-BC$9)/BC$10)*BC$12+BC$11,1))</f>
        <v>8</v>
      </c>
      <c r="AU38" s="14"/>
      <c r="AV38" s="14"/>
      <c r="AW38" s="14"/>
      <c r="AX38" s="14"/>
      <c r="AY38" s="14"/>
      <c r="AZ38" s="14"/>
      <c r="BA38" s="12"/>
    </row>
    <row r="39" customFormat="false" ht="15" hidden="false" customHeight="true" outlineLevel="0" collapsed="false">
      <c r="A39" s="5" t="s">
        <v>143</v>
      </c>
      <c r="B39" s="5" t="s">
        <v>177</v>
      </c>
      <c r="C39" s="6" t="n">
        <f aca="false">IFERROR(ROUND(MAX(0,AVERAGE(F39,H39,J39,L39,N39)),1),"")</f>
        <v>18.9</v>
      </c>
      <c r="D39" s="7" t="n">
        <f aca="false">COUNT(E39,G39,I39,K39,M39)</f>
        <v>5</v>
      </c>
      <c r="E39" s="13" t="n">
        <v>30</v>
      </c>
      <c r="F39" s="6" t="n">
        <f aca="false">IF(E39="","",ROUND(((E39-Q$7)/Q$8)*Q$18+Q$17,1))</f>
        <v>26.2</v>
      </c>
      <c r="G39" s="13" t="n">
        <v>8</v>
      </c>
      <c r="H39" s="6" t="n">
        <f aca="false">IF(G39="","",ROUND(((G39-Q$9)/Q$10)*Q$18+Q$17,1))</f>
        <v>4.2</v>
      </c>
      <c r="I39" s="17" t="n">
        <v>20.2</v>
      </c>
      <c r="J39" s="6" t="n">
        <f aca="false">IF(I39="","",ROUND(((I39-Q$11)/Q$12)*Q$18+Q$17,1))</f>
        <v>18.1</v>
      </c>
      <c r="K39" s="13" t="n">
        <v>845</v>
      </c>
      <c r="L39" s="6" t="n">
        <f aca="false">IF(K39="","",ROUND(((K39-Q$13)/Q$14)*Q$18+Q$17,1))</f>
        <v>20.8</v>
      </c>
      <c r="M39" s="13" t="n">
        <v>25</v>
      </c>
      <c r="N39" s="6" t="n">
        <f aca="false">IF(M39="","",ROUND(((M39-Q$15)/Q$16)*Q$18+Q$17,1))</f>
        <v>25</v>
      </c>
      <c r="O39" s="12"/>
      <c r="T39" s="5" t="s">
        <v>143</v>
      </c>
      <c r="U39" s="5" t="s">
        <v>177</v>
      </c>
      <c r="V39" s="6" t="n">
        <f aca="false">IFERROR(MIN(ROUND(MAX(0,AVERAGE(Y39,AA39,AC39,AE39,AG39)),1),18.8),"")</f>
        <v>18.5</v>
      </c>
      <c r="W39" s="7" t="n">
        <f aca="false">COUNT(X39,Z39,AB39,AD39,AF39)</f>
        <v>5</v>
      </c>
      <c r="X39" s="13" t="n">
        <v>28</v>
      </c>
      <c r="Y39" s="6" t="n">
        <f aca="false">IF(X39="","",ROUND(((X39-AJ$7)/AJ$8)*AJ$18+AJ$17,1))</f>
        <v>25.2</v>
      </c>
      <c r="Z39" s="13" t="n">
        <v>7</v>
      </c>
      <c r="AA39" s="6" t="n">
        <f aca="false">IF(Z39="","",ROUND(((Z39-AJ$9)/AJ$10)*AJ$18+AJ$17,1))</f>
        <v>5</v>
      </c>
      <c r="AB39" s="13" t="n">
        <v>18.9</v>
      </c>
      <c r="AC39" s="6" t="n">
        <f aca="false">IF(AB39="","",ROUND(((AB39-AJ$11)/AJ$12)*AJ$18+AJ$17,1))</f>
        <v>19.1</v>
      </c>
      <c r="AD39" s="17" t="n">
        <v>788.7</v>
      </c>
      <c r="AE39" s="6" t="n">
        <f aca="false">IF(AD39="","",ROUND(((AD39-AJ$13)/AJ$14)*AJ$18+AJ$17,1))</f>
        <v>19.2</v>
      </c>
      <c r="AF39" s="13" t="n">
        <v>24</v>
      </c>
      <c r="AG39" s="6" t="n">
        <f aca="false">IF(AF39="","",ROUND(((AF39-AJ$15)/AJ$16)*AJ$18+AJ$17,1))</f>
        <v>24</v>
      </c>
      <c r="AH39" s="12"/>
      <c r="AM39" s="5" t="s">
        <v>143</v>
      </c>
      <c r="AN39" s="5" t="s">
        <v>178</v>
      </c>
      <c r="AO39" s="6" t="n">
        <f aca="false">IFERROR(ROUND(MAX(0,AVERAGE(AR39,AT39)),1),"")</f>
        <v>5.3</v>
      </c>
      <c r="AP39" s="7" t="n">
        <f aca="false">COUNT(AQ39,AS39)</f>
        <v>2</v>
      </c>
      <c r="AQ39" s="13" t="n">
        <v>7</v>
      </c>
      <c r="AR39" s="6" t="n">
        <f aca="false">IF(AQ39="","",ROUND(((AQ39-BC$7)/BC$8)*BC$12+BC$11,1))</f>
        <v>4.4</v>
      </c>
      <c r="AS39" s="13" t="n">
        <v>24</v>
      </c>
      <c r="AT39" s="6" t="n">
        <f aca="false">IF(AS39="","",ROUND(((AS39-BC$9)/BC$10)*BC$12+BC$11,1))</f>
        <v>6.1</v>
      </c>
      <c r="AU39" s="14"/>
      <c r="AV39" s="14"/>
      <c r="AW39" s="14"/>
      <c r="AX39" s="14"/>
      <c r="AY39" s="14"/>
      <c r="AZ39" s="14"/>
      <c r="BA39" s="12"/>
    </row>
    <row r="40" customFormat="false" ht="15" hidden="false" customHeight="true" outlineLevel="0" collapsed="false">
      <c r="A40" s="5" t="s">
        <v>143</v>
      </c>
      <c r="B40" s="5" t="s">
        <v>178</v>
      </c>
      <c r="C40" s="6" t="n">
        <f aca="false">IFERROR(ROUND(MAX(0,AVERAGE(F40,H40,J40,L40,N40)),1),"")</f>
        <v>18.3</v>
      </c>
      <c r="D40" s="7" t="n">
        <f aca="false">COUNT(E40,G40,I40,K40,M40)</f>
        <v>5</v>
      </c>
      <c r="E40" s="13" t="n">
        <v>28</v>
      </c>
      <c r="F40" s="6" t="n">
        <f aca="false">IF(E40="","",ROUND(((E40-Q$7)/Q$8)*Q$18+Q$17,1))</f>
        <v>24.4</v>
      </c>
      <c r="G40" s="13" t="n">
        <v>9</v>
      </c>
      <c r="H40" s="6" t="n">
        <f aca="false">IF(G40="","",ROUND(((G40-Q$9)/Q$10)*Q$18+Q$17,1))</f>
        <v>5.8</v>
      </c>
      <c r="I40" s="17" t="n">
        <v>21.3</v>
      </c>
      <c r="J40" s="6" t="n">
        <f aca="false">IF(I40="","",ROUND(((I40-Q$11)/Q$12)*Q$18+Q$17,1))</f>
        <v>19.7</v>
      </c>
      <c r="K40" s="13" t="n">
        <v>753</v>
      </c>
      <c r="L40" s="6" t="n">
        <f aca="false">IF(K40="","",ROUND(((K40-Q$13)/Q$14)*Q$18+Q$17,1))</f>
        <v>18.4</v>
      </c>
      <c r="M40" s="13" t="n">
        <v>23</v>
      </c>
      <c r="N40" s="6" t="n">
        <f aca="false">IF(M40="","",ROUND(((M40-Q$15)/Q$16)*Q$18+Q$17,1))</f>
        <v>23</v>
      </c>
      <c r="O40" s="12"/>
      <c r="T40" s="5" t="s">
        <v>143</v>
      </c>
      <c r="U40" s="5" t="s">
        <v>178</v>
      </c>
      <c r="V40" s="6" t="n">
        <f aca="false">IFERROR(MIN(ROUND(MAX(0,AVERAGE(Y40,AA40,AC40,AE40,AG40)),1),18.2),"")</f>
        <v>18</v>
      </c>
      <c r="W40" s="7" t="n">
        <f aca="false">COUNT(X40,Z40,AB40,AD40,AF40)</f>
        <v>5</v>
      </c>
      <c r="X40" s="13" t="n">
        <v>26</v>
      </c>
      <c r="Y40" s="6" t="n">
        <f aca="false">IF(X40="","",ROUND(((X40-AJ$7)/AJ$8)*AJ$18+AJ$17,1))</f>
        <v>23.4</v>
      </c>
      <c r="Z40" s="13" t="n">
        <v>8</v>
      </c>
      <c r="AA40" s="6" t="n">
        <f aca="false">IF(Z40="","",ROUND(((Z40-AJ$9)/AJ$10)*AJ$18+AJ$17,1))</f>
        <v>6.5</v>
      </c>
      <c r="AB40" s="13" t="n">
        <v>19.8</v>
      </c>
      <c r="AC40" s="6" t="n">
        <f aca="false">IF(AB40="","",ROUND(((AB40-AJ$11)/AJ$12)*AJ$18+AJ$17,1))</f>
        <v>20.4</v>
      </c>
      <c r="AD40" s="17" t="n">
        <v>699.2</v>
      </c>
      <c r="AE40" s="6" t="n">
        <f aca="false">IF(AD40="","",ROUND(((AD40-AJ$13)/AJ$14)*AJ$18+AJ$17,1))</f>
        <v>16.9</v>
      </c>
      <c r="AF40" s="13" t="n">
        <v>23</v>
      </c>
      <c r="AG40" s="6" t="n">
        <f aca="false">IF(AF40="","",ROUND(((AF40-AJ$15)/AJ$16)*AJ$18+AJ$17,1))</f>
        <v>23</v>
      </c>
      <c r="AH40" s="12"/>
      <c r="AM40" s="5" t="s">
        <v>143</v>
      </c>
      <c r="AN40" s="5" t="s">
        <v>177</v>
      </c>
      <c r="AO40" s="6" t="n">
        <f aca="false">IFERROR(ROUND(MAX(0,AVERAGE(AR40,AT40)),1),"")</f>
        <v>3.7</v>
      </c>
      <c r="AP40" s="7" t="n">
        <f aca="false">COUNT(AQ40,AS40)</f>
        <v>2</v>
      </c>
      <c r="AQ40" s="13" t="n">
        <v>6</v>
      </c>
      <c r="AR40" s="6" t="n">
        <f aca="false">IF(AQ40="","",ROUND(((AQ40-BC$7)/BC$8)*BC$12+BC$11,1))</f>
        <v>3.2</v>
      </c>
      <c r="AS40" s="13" t="n">
        <v>22</v>
      </c>
      <c r="AT40" s="6" t="n">
        <f aca="false">IF(AS40="","",ROUND(((AS40-BC$9)/BC$10)*BC$12+BC$11,1))</f>
        <v>4.2</v>
      </c>
      <c r="AU40" s="14"/>
      <c r="AV40" s="14"/>
      <c r="AW40" s="14"/>
      <c r="AX40" s="14"/>
      <c r="AY40" s="14"/>
      <c r="AZ40" s="14"/>
      <c r="BA40" s="12"/>
    </row>
    <row r="41" customFormat="false" ht="15" hidden="false" customHeight="true" outlineLevel="0" collapsed="false">
      <c r="A41" s="5" t="s">
        <v>143</v>
      </c>
      <c r="B41" s="5" t="s">
        <v>179</v>
      </c>
      <c r="C41" s="6" t="n">
        <f aca="false">IFERROR(ROUND(MAX(0,AVERAGE(F41,H41,J41,L41,N41)),1),"")</f>
        <v>17.7</v>
      </c>
      <c r="D41" s="7" t="n">
        <f aca="false">COUNT(E41,G41,I41,K41,M41)</f>
        <v>5</v>
      </c>
      <c r="E41" s="13" t="n">
        <v>28</v>
      </c>
      <c r="F41" s="6" t="n">
        <f aca="false">IF(E41="","",ROUND(((E41-Q$7)/Q$8)*Q$18+Q$17,1))</f>
        <v>24.4</v>
      </c>
      <c r="G41" s="13" t="n">
        <v>8</v>
      </c>
      <c r="H41" s="6" t="n">
        <f aca="false">IF(G41="","",ROUND(((G41-Q$9)/Q$10)*Q$18+Q$17,1))</f>
        <v>4.2</v>
      </c>
      <c r="I41" s="17" t="n">
        <v>24.6</v>
      </c>
      <c r="J41" s="6" t="n">
        <f aca="false">IF(I41="","",ROUND(((I41-Q$11)/Q$12)*Q$18+Q$17,1))</f>
        <v>24.5</v>
      </c>
      <c r="K41" s="13" t="n">
        <v>599</v>
      </c>
      <c r="L41" s="6" t="n">
        <f aca="false">IF(K41="","",ROUND(((K41-Q$13)/Q$14)*Q$18+Q$17,1))</f>
        <v>14.3</v>
      </c>
      <c r="M41" s="13" t="n">
        <v>21</v>
      </c>
      <c r="N41" s="6" t="n">
        <f aca="false">IF(M41="","",ROUND(((M41-Q$15)/Q$16)*Q$18+Q$17,1))</f>
        <v>21</v>
      </c>
      <c r="O41" s="12"/>
      <c r="T41" s="5" t="s">
        <v>143</v>
      </c>
      <c r="U41" s="5" t="s">
        <v>179</v>
      </c>
      <c r="V41" s="6" t="n">
        <f aca="false">IFERROR(MIN(ROUND(MAX(0,AVERAGE(Y41,AA41,AC41,AE41,AG41)),1),17.6),"")</f>
        <v>17.3</v>
      </c>
      <c r="W41" s="7" t="n">
        <f aca="false">COUNT(X41,Z41,AB41,AD41,AF41)</f>
        <v>5</v>
      </c>
      <c r="X41" s="13" t="n">
        <v>26</v>
      </c>
      <c r="Y41" s="6" t="n">
        <f aca="false">IF(X41="","",ROUND(((X41-AJ$7)/AJ$8)*AJ$18+AJ$17,1))</f>
        <v>23.4</v>
      </c>
      <c r="Z41" s="13" t="n">
        <v>7</v>
      </c>
      <c r="AA41" s="6" t="n">
        <f aca="false">IF(Z41="","",ROUND(((Z41-AJ$9)/AJ$10)*AJ$18+AJ$17,1))</f>
        <v>5</v>
      </c>
      <c r="AB41" s="13" t="n">
        <v>22.8</v>
      </c>
      <c r="AC41" s="6" t="n">
        <f aca="false">IF(AB41="","",ROUND(((AB41-AJ$11)/AJ$12)*AJ$18+AJ$17,1))</f>
        <v>24.8</v>
      </c>
      <c r="AD41" s="17" t="n">
        <v>556.2</v>
      </c>
      <c r="AE41" s="6" t="n">
        <f aca="false">IF(AD41="","",ROUND(((AD41-AJ$13)/AJ$14)*AJ$18+AJ$17,1))</f>
        <v>13.1</v>
      </c>
      <c r="AF41" s="13" t="n">
        <v>20</v>
      </c>
      <c r="AG41" s="6" t="n">
        <f aca="false">IF(AF41="","",ROUND(((AF41-AJ$15)/AJ$16)*AJ$18+AJ$17,1))</f>
        <v>20</v>
      </c>
      <c r="AH41" s="12"/>
      <c r="AM41" s="5" t="s">
        <v>143</v>
      </c>
      <c r="AN41" s="5" t="s">
        <v>180</v>
      </c>
      <c r="AO41" s="6" t="n">
        <f aca="false">IFERROR(ROUND(MAX(0,AVERAGE(AR41,AT41)),1),"")</f>
        <v>3.2</v>
      </c>
      <c r="AP41" s="7" t="n">
        <f aca="false">COUNT(AQ41,AS41)</f>
        <v>2</v>
      </c>
      <c r="AQ41" s="13" t="n">
        <v>6</v>
      </c>
      <c r="AR41" s="6" t="n">
        <f aca="false">IF(AQ41="","",ROUND(((AQ41-BC$7)/BC$8)*BC$12+BC$11,1))</f>
        <v>3.2</v>
      </c>
      <c r="AS41" s="13" t="n">
        <v>21</v>
      </c>
      <c r="AT41" s="6" t="n">
        <f aca="false">IF(AS41="","",ROUND(((AS41-BC$9)/BC$10)*BC$12+BC$11,1))</f>
        <v>3.2</v>
      </c>
      <c r="AU41" s="14"/>
      <c r="AV41" s="14"/>
      <c r="AW41" s="14"/>
      <c r="AX41" s="14"/>
      <c r="AY41" s="14"/>
      <c r="AZ41" s="14"/>
      <c r="BA41" s="12"/>
    </row>
    <row r="42" customFormat="false" ht="15" hidden="false" customHeight="true" outlineLevel="0" collapsed="false">
      <c r="A42" s="5" t="s">
        <v>143</v>
      </c>
      <c r="B42" s="5" t="s">
        <v>181</v>
      </c>
      <c r="C42" s="6" t="n">
        <f aca="false">IFERROR(ROUND(MAX(0,AVERAGE(F42,H42,J42,L42,N42)),1),"")</f>
        <v>16.9</v>
      </c>
      <c r="D42" s="7" t="n">
        <f aca="false">COUNT(E42,G42,I42,K42,M42)</f>
        <v>4</v>
      </c>
      <c r="E42" s="13" t="n">
        <v>18</v>
      </c>
      <c r="F42" s="6" t="n">
        <f aca="false">IF(E42="","",ROUND(((E42-Q$7)/Q$8)*Q$18+Q$17,1))</f>
        <v>15.3</v>
      </c>
      <c r="G42" s="13"/>
      <c r="H42" s="6" t="str">
        <f aca="false">IF(G42="","",ROUND(((G42-Q$9)/Q$10)*Q$18+Q$17,1))</f>
        <v/>
      </c>
      <c r="I42" s="17" t="n">
        <v>16.5</v>
      </c>
      <c r="J42" s="6" t="n">
        <f aca="false">IF(I42="","",ROUND(((I42-Q$11)/Q$12)*Q$18+Q$17,1))</f>
        <v>12.7</v>
      </c>
      <c r="K42" s="13" t="n">
        <v>947</v>
      </c>
      <c r="L42" s="6" t="n">
        <f aca="false">IF(K42="","",ROUND(((K42-Q$13)/Q$14)*Q$18+Q$17,1))</f>
        <v>23.5</v>
      </c>
      <c r="M42" s="13" t="n">
        <v>16</v>
      </c>
      <c r="N42" s="6" t="n">
        <f aca="false">IF(M42="","",ROUND(((M42-Q$15)/Q$16)*Q$18+Q$17,1))</f>
        <v>16</v>
      </c>
      <c r="O42" s="12"/>
      <c r="T42" s="5" t="s">
        <v>143</v>
      </c>
      <c r="U42" s="5" t="s">
        <v>181</v>
      </c>
      <c r="V42" s="6" t="n">
        <f aca="false">IFERROR(MIN(ROUND(MAX(0,AVERAGE(Y42,AA42,AC42,AE42,AG42)),1),16.8),"")</f>
        <v>16.8</v>
      </c>
      <c r="W42" s="7" t="n">
        <f aca="false">COUNT(X42,Z42,AB42,AD42,AF42)</f>
        <v>4</v>
      </c>
      <c r="X42" s="13" t="n">
        <v>16</v>
      </c>
      <c r="Y42" s="6" t="n">
        <f aca="false">IF(X42="","",ROUND(((X42-AJ$7)/AJ$8)*AJ$18+AJ$17,1))</f>
        <v>14.3</v>
      </c>
      <c r="Z42" s="13"/>
      <c r="AA42" s="6" t="str">
        <f aca="false">IF(Z42="","",ROUND(((Z42-AJ$9)/AJ$10)*AJ$18+AJ$17,1))</f>
        <v/>
      </c>
      <c r="AB42" s="13" t="n">
        <v>16.5</v>
      </c>
      <c r="AC42" s="6" t="n">
        <f aca="false">IF(AB42="","",ROUND(((AB42-AJ$11)/AJ$12)*AJ$18+AJ$17,1))</f>
        <v>15.6</v>
      </c>
      <c r="AD42" s="17" t="n">
        <v>947</v>
      </c>
      <c r="AE42" s="6" t="n">
        <f aca="false">IF(AD42="","",ROUND(((AD42-AJ$13)/AJ$14)*AJ$18+AJ$17,1))</f>
        <v>23.4</v>
      </c>
      <c r="AF42" s="13" t="n">
        <v>16</v>
      </c>
      <c r="AG42" s="6" t="n">
        <f aca="false">IF(AF42="","",ROUND(((AF42-AJ$15)/AJ$16)*AJ$18+AJ$17,1))</f>
        <v>16</v>
      </c>
      <c r="AH42" s="12"/>
      <c r="AM42" s="5" t="s">
        <v>143</v>
      </c>
      <c r="AN42" s="5" t="s">
        <v>179</v>
      </c>
      <c r="AO42" s="6" t="n">
        <f aca="false">IFERROR(ROUND(MAX(0,AVERAGE(AR42,AT42)),1),"")</f>
        <v>2.3</v>
      </c>
      <c r="AP42" s="7" t="n">
        <f aca="false">COUNT(AQ42,AS42)</f>
        <v>2</v>
      </c>
      <c r="AQ42" s="13" t="n">
        <v>6</v>
      </c>
      <c r="AR42" s="6" t="n">
        <f aca="false">IF(AQ42="","",ROUND(((AQ42-BC$7)/BC$8)*BC$12+BC$11,1))</f>
        <v>3.2</v>
      </c>
      <c r="AS42" s="13" t="n">
        <v>19</v>
      </c>
      <c r="AT42" s="6" t="n">
        <f aca="false">IF(AS42="","",ROUND(((AS42-BC$9)/BC$10)*BC$12+BC$11,1))</f>
        <v>1.3</v>
      </c>
      <c r="AU42" s="14"/>
      <c r="AV42" s="14"/>
      <c r="AW42" s="14"/>
      <c r="AX42" s="14"/>
      <c r="AY42" s="14"/>
      <c r="AZ42" s="14"/>
      <c r="BA42" s="12"/>
    </row>
    <row r="43" customFormat="false" ht="15" hidden="false" customHeight="true" outlineLevel="0" collapsed="false">
      <c r="A43" s="5" t="s">
        <v>143</v>
      </c>
      <c r="B43" s="5" t="s">
        <v>182</v>
      </c>
      <c r="C43" s="6" t="n">
        <f aca="false">IFERROR(ROUND(MAX(0,AVERAGE(F43,H43,J43,L43,N43)),1),"")</f>
        <v>15</v>
      </c>
      <c r="D43" s="7" t="n">
        <f aca="false">COUNT(E43,G43,I43,K43,M43)</f>
        <v>4</v>
      </c>
      <c r="E43" s="13" t="n">
        <v>16</v>
      </c>
      <c r="F43" s="6" t="n">
        <f aca="false">IF(E43="","",ROUND(((E43-Q$7)/Q$8)*Q$18+Q$17,1))</f>
        <v>13.5</v>
      </c>
      <c r="G43" s="13"/>
      <c r="H43" s="6" t="str">
        <f aca="false">IF(G43="","",ROUND(((G43-Q$9)/Q$10)*Q$18+Q$17,1))</f>
        <v/>
      </c>
      <c r="I43" s="17" t="n">
        <v>18.2</v>
      </c>
      <c r="J43" s="6" t="n">
        <f aca="false">IF(I43="","",ROUND(((I43-Q$11)/Q$12)*Q$18+Q$17,1))</f>
        <v>15.1</v>
      </c>
      <c r="K43" s="13" t="n">
        <v>606</v>
      </c>
      <c r="L43" s="6" t="n">
        <f aca="false">IF(K43="","",ROUND(((K43-Q$13)/Q$14)*Q$18+Q$17,1))</f>
        <v>14.5</v>
      </c>
      <c r="M43" s="13" t="n">
        <v>17</v>
      </c>
      <c r="N43" s="6" t="n">
        <f aca="false">IF(M43="","",ROUND(((M43-Q$15)/Q$16)*Q$18+Q$17,1))</f>
        <v>17</v>
      </c>
      <c r="O43" s="12"/>
      <c r="T43" s="5" t="s">
        <v>143</v>
      </c>
      <c r="U43" s="5" t="s">
        <v>182</v>
      </c>
      <c r="V43" s="6" t="n">
        <f aca="false">IFERROR(MIN(ROUND(MAX(0,AVERAGE(Y43,AA43,AC43,AE43,AG43)),1),15),"")</f>
        <v>14.6</v>
      </c>
      <c r="W43" s="7" t="n">
        <f aca="false">COUNT(X43,Z43,AB43,AD43,AF43)</f>
        <v>4</v>
      </c>
      <c r="X43" s="13" t="n">
        <v>14</v>
      </c>
      <c r="Y43" s="6" t="n">
        <f aca="false">IF(X43="","",ROUND(((X43-AJ$7)/AJ$8)*AJ$18+AJ$17,1))</f>
        <v>12.5</v>
      </c>
      <c r="Z43" s="13"/>
      <c r="AA43" s="6" t="str">
        <f aca="false">IF(Z43="","",ROUND(((Z43-AJ$9)/AJ$10)*AJ$18+AJ$17,1))</f>
        <v/>
      </c>
      <c r="AB43" s="13" t="n">
        <v>17.1</v>
      </c>
      <c r="AC43" s="6" t="n">
        <f aca="false">IF(AB43="","",ROUND(((AB43-AJ$11)/AJ$12)*AJ$18+AJ$17,1))</f>
        <v>16.5</v>
      </c>
      <c r="AD43" s="17" t="n">
        <v>570.4</v>
      </c>
      <c r="AE43" s="6" t="n">
        <f aca="false">IF(AD43="","",ROUND(((AD43-AJ$13)/AJ$14)*AJ$18+AJ$17,1))</f>
        <v>13.5</v>
      </c>
      <c r="AF43" s="13" t="n">
        <v>16</v>
      </c>
      <c r="AG43" s="6" t="n">
        <f aca="false">IF(AF43="","",ROUND(((AF43-AJ$15)/AJ$16)*AJ$18+AJ$17,1))</f>
        <v>16</v>
      </c>
      <c r="AH43" s="12"/>
      <c r="AM43" s="5" t="s">
        <v>143</v>
      </c>
      <c r="AN43" s="5" t="s">
        <v>183</v>
      </c>
      <c r="AO43" s="6" t="n">
        <f aca="false">IFERROR(ROUND(MAX(0,AVERAGE(AR43,AT43)),1),"")</f>
        <v>0.7</v>
      </c>
      <c r="AP43" s="7" t="n">
        <f aca="false">COUNT(AQ43,AS43)</f>
        <v>2</v>
      </c>
      <c r="AQ43" s="13" t="n">
        <v>5</v>
      </c>
      <c r="AR43" s="6" t="n">
        <f aca="false">IF(AQ43="","",ROUND(((AQ43-BC$7)/BC$8)*BC$12+BC$11,1))</f>
        <v>1.9</v>
      </c>
      <c r="AS43" s="13" t="n">
        <v>17</v>
      </c>
      <c r="AT43" s="6" t="n">
        <f aca="false">IF(AS43="","",ROUND(((AS43-BC$9)/BC$10)*BC$12+BC$11,1))</f>
        <v>-0.6</v>
      </c>
      <c r="AU43" s="14"/>
      <c r="AV43" s="14"/>
      <c r="AW43" s="14"/>
      <c r="AX43" s="14"/>
      <c r="AY43" s="14"/>
      <c r="AZ43" s="14"/>
      <c r="BA43" s="12"/>
    </row>
    <row r="44" customFormat="false" ht="15" hidden="false" customHeight="true" outlineLevel="0" collapsed="false">
      <c r="A44" s="5" t="s">
        <v>143</v>
      </c>
      <c r="B44" s="5" t="s">
        <v>180</v>
      </c>
      <c r="C44" s="6" t="n">
        <f aca="false">IFERROR(ROUND(MAX(0,AVERAGE(F44,H44,J44,L44,N44)),1),"")</f>
        <v>14.7</v>
      </c>
      <c r="D44" s="7" t="n">
        <f aca="false">COUNT(E44,G44,I44,K44,M44)</f>
        <v>5</v>
      </c>
      <c r="E44" s="13" t="n">
        <v>20</v>
      </c>
      <c r="F44" s="6" t="n">
        <f aca="false">IF(E44="","",ROUND(((E44-Q$7)/Q$8)*Q$18+Q$17,1))</f>
        <v>17.1</v>
      </c>
      <c r="G44" s="13" t="n">
        <v>8</v>
      </c>
      <c r="H44" s="6" t="n">
        <f aca="false">IF(G44="","",ROUND(((G44-Q$9)/Q$10)*Q$18+Q$17,1))</f>
        <v>4.2</v>
      </c>
      <c r="I44" s="17" t="n">
        <v>19.7</v>
      </c>
      <c r="J44" s="6" t="n">
        <f aca="false">IF(I44="","",ROUND(((I44-Q$11)/Q$12)*Q$18+Q$17,1))</f>
        <v>17.3</v>
      </c>
      <c r="K44" s="13" t="n">
        <v>591</v>
      </c>
      <c r="L44" s="6" t="n">
        <f aca="false">IF(K44="","",ROUND(((K44-Q$13)/Q$14)*Q$18+Q$17,1))</f>
        <v>14.1</v>
      </c>
      <c r="M44" s="13" t="n">
        <v>21</v>
      </c>
      <c r="N44" s="6" t="n">
        <f aca="false">IF(M44="","",ROUND(((M44-Q$15)/Q$16)*Q$18+Q$17,1))</f>
        <v>21</v>
      </c>
      <c r="O44" s="12"/>
      <c r="T44" s="5" t="s">
        <v>143</v>
      </c>
      <c r="U44" s="5" t="s">
        <v>180</v>
      </c>
      <c r="V44" s="6" t="n">
        <f aca="false">IFERROR(MIN(ROUND(MAX(0,AVERAGE(Y44,AA44,AC44,AE44,AG44)),1),14.7),"")</f>
        <v>14.4</v>
      </c>
      <c r="W44" s="7" t="n">
        <f aca="false">COUNT(X44,Z44,AB44,AD44,AF44)</f>
        <v>5</v>
      </c>
      <c r="X44" s="13" t="n">
        <v>18</v>
      </c>
      <c r="Y44" s="6" t="n">
        <f aca="false">IF(X44="","",ROUND(((X44-AJ$7)/AJ$8)*AJ$18+AJ$17,1))</f>
        <v>16.1</v>
      </c>
      <c r="Z44" s="13" t="n">
        <v>7</v>
      </c>
      <c r="AA44" s="6" t="n">
        <f aca="false">IF(Z44="","",ROUND(((Z44-AJ$9)/AJ$10)*AJ$18+AJ$17,1))</f>
        <v>5</v>
      </c>
      <c r="AB44" s="13" t="n">
        <v>17.7</v>
      </c>
      <c r="AC44" s="6" t="n">
        <f aca="false">IF(AB44="","",ROUND(((AB44-AJ$11)/AJ$12)*AJ$18+AJ$17,1))</f>
        <v>17.4</v>
      </c>
      <c r="AD44" s="17" t="n">
        <v>531.9</v>
      </c>
      <c r="AE44" s="6" t="n">
        <f aca="false">IF(AD44="","",ROUND(((AD44-AJ$13)/AJ$14)*AJ$18+AJ$17,1))</f>
        <v>12.5</v>
      </c>
      <c r="AF44" s="13" t="n">
        <v>21</v>
      </c>
      <c r="AG44" s="6" t="n">
        <f aca="false">IF(AF44="","",ROUND(((AF44-AJ$15)/AJ$16)*AJ$18+AJ$17,1))</f>
        <v>21</v>
      </c>
      <c r="AH44" s="12"/>
      <c r="AM44" s="5" t="s">
        <v>143</v>
      </c>
      <c r="AN44" s="5" t="s">
        <v>184</v>
      </c>
      <c r="AO44" s="6" t="n">
        <f aca="false">IFERROR(ROUND(MAX(0,AVERAGE(AR44,AT44)),1),"")</f>
        <v>0</v>
      </c>
      <c r="AP44" s="7" t="n">
        <f aca="false">COUNT(AQ44,AS44)</f>
        <v>2</v>
      </c>
      <c r="AQ44" s="13" t="n">
        <v>5</v>
      </c>
      <c r="AR44" s="6" t="n">
        <f aca="false">IF(AQ44="","",ROUND(((AQ44-BC$7)/BC$8)*BC$12+BC$11,1))</f>
        <v>1.9</v>
      </c>
      <c r="AS44" s="13" t="n">
        <v>15</v>
      </c>
      <c r="AT44" s="6" t="n">
        <f aca="false">IF(AS44="","",ROUND(((AS44-BC$9)/BC$10)*BC$12+BC$11,1))</f>
        <v>-2.5</v>
      </c>
      <c r="AU44" s="14"/>
      <c r="AV44" s="14"/>
      <c r="AW44" s="14"/>
      <c r="AX44" s="14"/>
      <c r="AY44" s="14"/>
      <c r="AZ44" s="14"/>
      <c r="BA44" s="12"/>
    </row>
    <row r="45" customFormat="false" ht="15" hidden="false" customHeight="true" outlineLevel="0" collapsed="false">
      <c r="A45" s="5" t="s">
        <v>143</v>
      </c>
      <c r="B45" s="5" t="s">
        <v>185</v>
      </c>
      <c r="C45" s="6" t="n">
        <f aca="false">IFERROR(ROUND(MAX(0,AVERAGE(F45,H45,J45,L45,N45)),1),"")</f>
        <v>13.5</v>
      </c>
      <c r="D45" s="7" t="n">
        <f aca="false">COUNT(E45,G45,I45,K45,M45)</f>
        <v>4</v>
      </c>
      <c r="E45" s="13" t="n">
        <v>16</v>
      </c>
      <c r="F45" s="6" t="n">
        <f aca="false">IF(E45="","",ROUND(((E45-Q$7)/Q$8)*Q$18+Q$17,1))</f>
        <v>13.5</v>
      </c>
      <c r="G45" s="13"/>
      <c r="H45" s="6" t="str">
        <f aca="false">IF(G45="","",ROUND(((G45-Q$9)/Q$10)*Q$18+Q$17,1))</f>
        <v/>
      </c>
      <c r="I45" s="17" t="n">
        <v>16.8</v>
      </c>
      <c r="J45" s="6" t="n">
        <f aca="false">IF(I45="","",ROUND(((I45-Q$11)/Q$12)*Q$18+Q$17,1))</f>
        <v>13.1</v>
      </c>
      <c r="K45" s="13" t="n">
        <v>517</v>
      </c>
      <c r="L45" s="6" t="n">
        <f aca="false">IF(K45="","",ROUND(((K45-Q$13)/Q$14)*Q$18+Q$17,1))</f>
        <v>12.2</v>
      </c>
      <c r="M45" s="13" t="n">
        <v>15</v>
      </c>
      <c r="N45" s="6" t="n">
        <f aca="false">IF(M45="","",ROUND(((M45-Q$15)/Q$16)*Q$18+Q$17,1))</f>
        <v>15</v>
      </c>
      <c r="O45" s="12"/>
      <c r="T45" s="5" t="s">
        <v>143</v>
      </c>
      <c r="U45" s="5" t="s">
        <v>185</v>
      </c>
      <c r="V45" s="6" t="n">
        <f aca="false">IFERROR(MIN(ROUND(MAX(0,AVERAGE(Y45,AA45,AC45,AE45,AG45)),1),13.4),"")</f>
        <v>12</v>
      </c>
      <c r="W45" s="7" t="n">
        <f aca="false">COUNT(X45,Z45,AB45,AD45,AF45)</f>
        <v>4</v>
      </c>
      <c r="X45" s="13" t="n">
        <v>14</v>
      </c>
      <c r="Y45" s="6" t="n">
        <f aca="false">IF(X45="","",ROUND(((X45-AJ$7)/AJ$8)*AJ$18+AJ$17,1))</f>
        <v>12.5</v>
      </c>
      <c r="Z45" s="13"/>
      <c r="AA45" s="6" t="str">
        <f aca="false">IF(Z45="","",ROUND(((Z45-AJ$9)/AJ$10)*AJ$18+AJ$17,1))</f>
        <v/>
      </c>
      <c r="AB45" s="13" t="n">
        <v>14.7</v>
      </c>
      <c r="AC45" s="6" t="n">
        <f aca="false">IF(AB45="","",ROUND(((AB45-AJ$11)/AJ$12)*AJ$18+AJ$17,1))</f>
        <v>13</v>
      </c>
      <c r="AD45" s="17" t="n">
        <v>452.4</v>
      </c>
      <c r="AE45" s="6" t="n">
        <f aca="false">IF(AD45="","",ROUND(((AD45-AJ$13)/AJ$14)*AJ$18+AJ$17,1))</f>
        <v>10.4</v>
      </c>
      <c r="AF45" s="13" t="n">
        <v>12</v>
      </c>
      <c r="AG45" s="6" t="n">
        <f aca="false">IF(AF45="","",ROUND(((AF45-AJ$15)/AJ$16)*AJ$18+AJ$17,1))</f>
        <v>12</v>
      </c>
      <c r="AH45" s="12"/>
      <c r="AM45" s="5" t="s">
        <v>143</v>
      </c>
      <c r="AN45" s="5" t="s">
        <v>186</v>
      </c>
      <c r="AO45" s="6" t="n">
        <f aca="false">IFERROR(ROUND(MAX(0,AVERAGE(AR45,AT45)),1),"")</f>
        <v>0</v>
      </c>
      <c r="AP45" s="7" t="n">
        <f aca="false">COUNT(AQ45,AS45)</f>
        <v>2</v>
      </c>
      <c r="AQ45" s="13" t="n">
        <v>5</v>
      </c>
      <c r="AR45" s="6" t="n">
        <f aca="false">IF(AQ45="","",ROUND(((AQ45-BC$7)/BC$8)*BC$12+BC$11,1))</f>
        <v>1.9</v>
      </c>
      <c r="AS45" s="13" t="n">
        <v>12</v>
      </c>
      <c r="AT45" s="6" t="n">
        <f aca="false">IF(AS45="","",ROUND(((AS45-BC$9)/BC$10)*BC$12+BC$11,1))</f>
        <v>-5.3</v>
      </c>
      <c r="AU45" s="14"/>
      <c r="AV45" s="14"/>
      <c r="AW45" s="14"/>
      <c r="AX45" s="14"/>
      <c r="AY45" s="14"/>
      <c r="AZ45" s="14"/>
      <c r="BA45" s="12"/>
    </row>
    <row r="46" customFormat="false" ht="15" hidden="false" customHeight="true" outlineLevel="0" collapsed="false">
      <c r="A46" s="5" t="s">
        <v>143</v>
      </c>
      <c r="B46" s="5" t="s">
        <v>186</v>
      </c>
      <c r="C46" s="6" t="n">
        <f aca="false">IFERROR(ROUND(MAX(0,AVERAGE(F46,H46,J46,L46,N46)),1),"")</f>
        <v>12.9</v>
      </c>
      <c r="D46" s="7" t="n">
        <f aca="false">COUNT(E46,G46,I46,K46,M46)</f>
        <v>5</v>
      </c>
      <c r="E46" s="13" t="n">
        <v>27</v>
      </c>
      <c r="F46" s="6" t="n">
        <f aca="false">IF(E46="","",ROUND(((E46-Q$7)/Q$8)*Q$18+Q$17,1))</f>
        <v>23.4</v>
      </c>
      <c r="G46" s="13" t="n">
        <v>5</v>
      </c>
      <c r="H46" s="6" t="n">
        <f aca="false">IF(G46="","",ROUND(((G46-Q$9)/Q$10)*Q$18+Q$17,1))</f>
        <v>-0.5</v>
      </c>
      <c r="I46" s="17" t="n">
        <v>14.4</v>
      </c>
      <c r="J46" s="6" t="n">
        <f aca="false">IF(I46="","",ROUND(((I46-Q$11)/Q$12)*Q$18+Q$17,1))</f>
        <v>9.6</v>
      </c>
      <c r="K46" s="13" t="n">
        <v>822</v>
      </c>
      <c r="L46" s="6" t="n">
        <f aca="false">IF(K46="","",ROUND(((K46-Q$13)/Q$14)*Q$18+Q$17,1))</f>
        <v>20.2</v>
      </c>
      <c r="M46" s="13" t="n">
        <v>12</v>
      </c>
      <c r="N46" s="6" t="n">
        <f aca="false">IF(M46="","",ROUND(((M46-Q$15)/Q$16)*Q$18+Q$17,1))</f>
        <v>12</v>
      </c>
      <c r="O46" s="12"/>
      <c r="T46" s="5" t="s">
        <v>143</v>
      </c>
      <c r="U46" s="5" t="s">
        <v>186</v>
      </c>
      <c r="V46" s="6" t="n">
        <f aca="false">IFERROR(MIN(ROUND(MAX(0,AVERAGE(Y46,AA46,AC46,AE46,AG46)),1),12.9),"")</f>
        <v>12.9</v>
      </c>
      <c r="W46" s="7" t="n">
        <f aca="false">COUNT(X46,Z46,AB46,AD46,AF46)</f>
        <v>5</v>
      </c>
      <c r="X46" s="13" t="n">
        <v>25</v>
      </c>
      <c r="Y46" s="6" t="n">
        <f aca="false">IF(X46="","",ROUND(((X46-AJ$7)/AJ$8)*AJ$18+AJ$17,1))</f>
        <v>22.5</v>
      </c>
      <c r="Z46" s="13" t="n">
        <v>5</v>
      </c>
      <c r="AA46" s="6" t="n">
        <f aca="false">IF(Z46="","",ROUND(((Z46-AJ$9)/AJ$10)*AJ$18+AJ$17,1))</f>
        <v>1.8</v>
      </c>
      <c r="AB46" s="13" t="n">
        <v>14.4</v>
      </c>
      <c r="AC46" s="6" t="n">
        <f aca="false">IF(AB46="","",ROUND(((AB46-AJ$11)/AJ$12)*AJ$18+AJ$17,1))</f>
        <v>12.6</v>
      </c>
      <c r="AD46" s="17" t="n">
        <v>822</v>
      </c>
      <c r="AE46" s="6" t="n">
        <f aca="false">IF(AD46="","",ROUND(((AD46-AJ$13)/AJ$14)*AJ$18+AJ$17,1))</f>
        <v>20.1</v>
      </c>
      <c r="AF46" s="13" t="n">
        <v>12</v>
      </c>
      <c r="AG46" s="6" t="n">
        <f aca="false">IF(AF46="","",ROUND(((AF46-AJ$15)/AJ$16)*AJ$18+AJ$17,1))</f>
        <v>12</v>
      </c>
      <c r="AH46" s="12"/>
      <c r="AM46" s="5" t="s">
        <v>143</v>
      </c>
      <c r="AN46" s="5" t="s">
        <v>187</v>
      </c>
      <c r="AO46" s="6" t="n">
        <f aca="false">IFERROR(ROUND(MAX(0,AVERAGE(AR46,AT46)),1),"")</f>
        <v>0</v>
      </c>
      <c r="AP46" s="7" t="n">
        <f aca="false">COUNT(AQ46,AS46)</f>
        <v>2</v>
      </c>
      <c r="AQ46" s="13" t="n">
        <v>6</v>
      </c>
      <c r="AR46" s="6" t="n">
        <f aca="false">IF(AQ46="","",ROUND(((AQ46-BC$7)/BC$8)*BC$12+BC$11,1))</f>
        <v>3.2</v>
      </c>
      <c r="AS46" s="13" t="n">
        <v>9</v>
      </c>
      <c r="AT46" s="6" t="n">
        <f aca="false">IF(AS46="","",ROUND(((AS46-BC$9)/BC$10)*BC$12+BC$11,1))</f>
        <v>-8.2</v>
      </c>
      <c r="AU46" s="14"/>
      <c r="AV46" s="14"/>
      <c r="AW46" s="14"/>
      <c r="AX46" s="14"/>
      <c r="AY46" s="14"/>
      <c r="AZ46" s="14"/>
      <c r="BA46" s="12"/>
    </row>
    <row r="47" customFormat="false" ht="15" hidden="false" customHeight="true" outlineLevel="0" collapsed="false">
      <c r="A47" s="5" t="s">
        <v>143</v>
      </c>
      <c r="B47" s="5" t="s">
        <v>188</v>
      </c>
      <c r="C47" s="6" t="n">
        <f aca="false">IFERROR(ROUND(MAX(0,AVERAGE(F47,H47,J47,L47,N47)),1),"")</f>
        <v>12.9</v>
      </c>
      <c r="D47" s="7" t="n">
        <f aca="false">COUNT(E47,G47,I47,K47,M47)</f>
        <v>5</v>
      </c>
      <c r="E47" s="13" t="n">
        <v>18</v>
      </c>
      <c r="F47" s="6" t="n">
        <f aca="false">IF(E47="","",ROUND(((E47-Q$7)/Q$8)*Q$18+Q$17,1))</f>
        <v>15.3</v>
      </c>
      <c r="G47" s="13" t="n">
        <v>6</v>
      </c>
      <c r="H47" s="6" t="n">
        <f aca="false">IF(G47="","",ROUND(((G47-Q$9)/Q$10)*Q$18+Q$17,1))</f>
        <v>1.1</v>
      </c>
      <c r="I47" s="17" t="n">
        <v>21.1</v>
      </c>
      <c r="J47" s="6" t="n">
        <f aca="false">IF(I47="","",ROUND(((I47-Q$11)/Q$12)*Q$18+Q$17,1))</f>
        <v>19.4</v>
      </c>
      <c r="K47" s="13" t="n">
        <v>614</v>
      </c>
      <c r="L47" s="6" t="n">
        <f aca="false">IF(K47="","",ROUND(((K47-Q$13)/Q$14)*Q$18+Q$17,1))</f>
        <v>14.7</v>
      </c>
      <c r="M47" s="13" t="n">
        <v>14</v>
      </c>
      <c r="N47" s="6" t="n">
        <f aca="false">IF(M47="","",ROUND(((M47-Q$15)/Q$16)*Q$18+Q$17,1))</f>
        <v>14</v>
      </c>
      <c r="O47" s="12"/>
      <c r="T47" s="5" t="s">
        <v>143</v>
      </c>
      <c r="U47" s="5" t="s">
        <v>188</v>
      </c>
      <c r="V47" s="6" t="n">
        <f aca="false">IFERROR(MIN(ROUND(MAX(0,AVERAGE(Y47,AA47,AC47,AE47,AG47)),1),12.8),"")</f>
        <v>12.7</v>
      </c>
      <c r="W47" s="7" t="n">
        <f aca="false">COUNT(X47,Z47,AB47,AD47,AF47)</f>
        <v>5</v>
      </c>
      <c r="X47" s="13" t="n">
        <v>16</v>
      </c>
      <c r="Y47" s="6" t="n">
        <f aca="false">IF(X47="","",ROUND(((X47-AJ$7)/AJ$8)*AJ$18+AJ$17,1))</f>
        <v>14.3</v>
      </c>
      <c r="Z47" s="17" t="n">
        <v>5.6</v>
      </c>
      <c r="AA47" s="6" t="n">
        <f aca="false">IF(Z47="","",ROUND(((Z47-AJ$9)/AJ$10)*AJ$18+AJ$17,1))</f>
        <v>2.8</v>
      </c>
      <c r="AB47" s="13" t="n">
        <v>19.6</v>
      </c>
      <c r="AC47" s="6" t="n">
        <f aca="false">IF(AB47="","",ROUND(((AB47-AJ$11)/AJ$12)*AJ$18+AJ$17,1))</f>
        <v>20.1</v>
      </c>
      <c r="AD47" s="17" t="n">
        <v>570.1</v>
      </c>
      <c r="AE47" s="6" t="n">
        <f aca="false">IF(AD47="","",ROUND(((AD47-AJ$13)/AJ$14)*AJ$18+AJ$17,1))</f>
        <v>13.5</v>
      </c>
      <c r="AF47" s="13" t="n">
        <v>13</v>
      </c>
      <c r="AG47" s="6" t="n">
        <f aca="false">IF(AF47="","",ROUND(((AF47-AJ$15)/AJ$16)*AJ$18+AJ$17,1))</f>
        <v>13</v>
      </c>
      <c r="AH47" s="12"/>
    </row>
    <row r="48" customFormat="false" ht="15" hidden="false" customHeight="true" outlineLevel="0" collapsed="false">
      <c r="A48" s="5" t="s">
        <v>143</v>
      </c>
      <c r="B48" s="5" t="s">
        <v>189</v>
      </c>
      <c r="C48" s="6" t="n">
        <f aca="false">IFERROR(ROUND(MAX(0,AVERAGE(F48,H48,J48,L48,N48)),1),"")</f>
        <v>12.8</v>
      </c>
      <c r="D48" s="7" t="n">
        <f aca="false">COUNT(E48,G48,I48,K48,M48)</f>
        <v>4</v>
      </c>
      <c r="E48" s="13" t="n">
        <v>12</v>
      </c>
      <c r="F48" s="6" t="n">
        <f aca="false">IF(E48="","",ROUND(((E48-Q$7)/Q$8)*Q$18+Q$17,1))</f>
        <v>9.9</v>
      </c>
      <c r="G48" s="13"/>
      <c r="H48" s="6" t="str">
        <f aca="false">IF(G48="","",ROUND(((G48-Q$9)/Q$10)*Q$18+Q$17,1))</f>
        <v/>
      </c>
      <c r="I48" s="17" t="n">
        <v>17.5</v>
      </c>
      <c r="J48" s="6" t="n">
        <f aca="false">IF(I48="","",ROUND(((I48-Q$11)/Q$12)*Q$18+Q$17,1))</f>
        <v>14.1</v>
      </c>
      <c r="K48" s="13" t="n">
        <v>484</v>
      </c>
      <c r="L48" s="6" t="n">
        <f aca="false">IF(K48="","",ROUND(((K48-Q$13)/Q$14)*Q$18+Q$17,1))</f>
        <v>11.3</v>
      </c>
      <c r="M48" s="13" t="n">
        <v>16</v>
      </c>
      <c r="N48" s="6" t="n">
        <f aca="false">IF(M48="","",ROUND(((M48-Q$15)/Q$16)*Q$18+Q$17,1))</f>
        <v>16</v>
      </c>
      <c r="O48" s="12"/>
      <c r="T48" s="5" t="s">
        <v>143</v>
      </c>
      <c r="U48" s="5" t="s">
        <v>189</v>
      </c>
      <c r="V48" s="6" t="n">
        <f aca="false">IFERROR(MIN(ROUND(MAX(0,AVERAGE(Y48,AA48,AC48,AE48,AG48)),1),12.8),"")</f>
        <v>12.5</v>
      </c>
      <c r="W48" s="7" t="n">
        <f aca="false">COUNT(X48,Z48,AB48,AD48,AF48)</f>
        <v>4</v>
      </c>
      <c r="X48" s="13" t="n">
        <v>10</v>
      </c>
      <c r="Y48" s="6" t="n">
        <f aca="false">IF(X48="","",ROUND(((X48-AJ$7)/AJ$8)*AJ$18+AJ$17,1))</f>
        <v>8.9</v>
      </c>
      <c r="Z48" s="13"/>
      <c r="AA48" s="6" t="str">
        <f aca="false">IF(Z48="","",ROUND(((Z48-AJ$9)/AJ$10)*AJ$18+AJ$17,1))</f>
        <v/>
      </c>
      <c r="AB48" s="13" t="n">
        <v>16.4</v>
      </c>
      <c r="AC48" s="6" t="n">
        <f aca="false">IF(AB48="","",ROUND(((AB48-AJ$11)/AJ$12)*AJ$18+AJ$17,1))</f>
        <v>15.5</v>
      </c>
      <c r="AD48" s="17" t="n">
        <v>453.8</v>
      </c>
      <c r="AE48" s="6" t="n">
        <f aca="false">IF(AD48="","",ROUND(((AD48-AJ$13)/AJ$14)*AJ$18+AJ$17,1))</f>
        <v>10.4</v>
      </c>
      <c r="AF48" s="13" t="n">
        <v>15</v>
      </c>
      <c r="AG48" s="6" t="n">
        <f aca="false">IF(AF48="","",ROUND(((AF48-AJ$15)/AJ$16)*AJ$18+AJ$17,1))</f>
        <v>15</v>
      </c>
      <c r="AH48" s="12"/>
    </row>
    <row r="49" customFormat="false" ht="15" hidden="false" customHeight="true" outlineLevel="0" collapsed="false">
      <c r="A49" s="5" t="s">
        <v>143</v>
      </c>
      <c r="B49" s="5" t="s">
        <v>187</v>
      </c>
      <c r="C49" s="6" t="n">
        <f aca="false">IFERROR(ROUND(MAX(0,AVERAGE(F49,H49,J49,L49,N49)),1),"")</f>
        <v>12.7</v>
      </c>
      <c r="D49" s="7" t="n">
        <f aca="false">COUNT(E49,G49,I49,K49,M49)</f>
        <v>5</v>
      </c>
      <c r="E49" s="13" t="n">
        <v>17</v>
      </c>
      <c r="F49" s="6" t="n">
        <f aca="false">IF(E49="","",ROUND(((E49-Q$7)/Q$8)*Q$18+Q$17,1))</f>
        <v>14.4</v>
      </c>
      <c r="G49" s="13" t="n">
        <v>8</v>
      </c>
      <c r="H49" s="6" t="n">
        <f aca="false">IF(G49="","",ROUND(((G49-Q$9)/Q$10)*Q$18+Q$17,1))</f>
        <v>4.2</v>
      </c>
      <c r="I49" s="17" t="n">
        <v>18.9</v>
      </c>
      <c r="J49" s="6" t="n">
        <f aca="false">IF(I49="","",ROUND(((I49-Q$11)/Q$12)*Q$18+Q$17,1))</f>
        <v>16.2</v>
      </c>
      <c r="K49" s="13" t="n">
        <v>810</v>
      </c>
      <c r="L49" s="6" t="n">
        <f aca="false">IF(K49="","",ROUND(((K49-Q$13)/Q$14)*Q$18+Q$17,1))</f>
        <v>19.9</v>
      </c>
      <c r="M49" s="13" t="n">
        <v>9</v>
      </c>
      <c r="N49" s="6" t="n">
        <f aca="false">IF(M49="","",ROUND(((M49-Q$15)/Q$16)*Q$18+Q$17,1))</f>
        <v>9</v>
      </c>
      <c r="O49" s="12"/>
      <c r="T49" s="5" t="s">
        <v>143</v>
      </c>
      <c r="U49" s="5" t="s">
        <v>187</v>
      </c>
      <c r="V49" s="6" t="n">
        <f aca="false">IFERROR(MIN(ROUND(MAX(0,AVERAGE(Y49,AA49,AC49,AE49,AG49)),1),12.7),"")</f>
        <v>12.1</v>
      </c>
      <c r="W49" s="7" t="n">
        <f aca="false">COUNT(X49,Z49,AB49,AD49,AF49)</f>
        <v>5</v>
      </c>
      <c r="X49" s="13" t="n">
        <v>15</v>
      </c>
      <c r="Y49" s="6" t="n">
        <f aca="false">IF(X49="","",ROUND(((X49-AJ$7)/AJ$8)*AJ$18+AJ$17,1))</f>
        <v>13.4</v>
      </c>
      <c r="Z49" s="13" t="n">
        <v>7</v>
      </c>
      <c r="AA49" s="6" t="n">
        <f aca="false">IF(Z49="","",ROUND(((Z49-AJ$9)/AJ$10)*AJ$18+AJ$17,1))</f>
        <v>5</v>
      </c>
      <c r="AB49" s="13" t="n">
        <v>16.7</v>
      </c>
      <c r="AC49" s="6" t="n">
        <f aca="false">IF(AB49="","",ROUND(((AB49-AJ$11)/AJ$12)*AJ$18+AJ$17,1))</f>
        <v>15.9</v>
      </c>
      <c r="AD49" s="17" t="n">
        <v>714.7</v>
      </c>
      <c r="AE49" s="6" t="n">
        <f aca="false">IF(AD49="","",ROUND(((AD49-AJ$13)/AJ$14)*AJ$18+AJ$17,1))</f>
        <v>17.3</v>
      </c>
      <c r="AF49" s="13" t="n">
        <v>9</v>
      </c>
      <c r="AG49" s="6" t="n">
        <f aca="false">IF(AF49="","",ROUND(((AF49-AJ$15)/AJ$16)*AJ$18+AJ$17,1))</f>
        <v>9</v>
      </c>
      <c r="AH49" s="12"/>
    </row>
    <row r="50" customFormat="false" ht="15" hidden="false" customHeight="true" outlineLevel="0" collapsed="false">
      <c r="A50" s="5" t="s">
        <v>143</v>
      </c>
      <c r="B50" s="5" t="s">
        <v>190</v>
      </c>
      <c r="C50" s="6" t="n">
        <f aca="false">IFERROR(ROUND(MAX(0,AVERAGE(F50,H50,J50,L50,N50)),1),"")</f>
        <v>12.3</v>
      </c>
      <c r="D50" s="7" t="n">
        <f aca="false">COUNT(E50,G50,I50,K50,M50)</f>
        <v>4</v>
      </c>
      <c r="E50" s="13" t="n">
        <v>13</v>
      </c>
      <c r="F50" s="6" t="n">
        <f aca="false">IF(E50="","",ROUND(((E50-Q$7)/Q$8)*Q$18+Q$17,1))</f>
        <v>10.8</v>
      </c>
      <c r="G50" s="13"/>
      <c r="H50" s="6" t="str">
        <f aca="false">IF(G50="","",ROUND(((G50-Q$9)/Q$10)*Q$18+Q$17,1))</f>
        <v/>
      </c>
      <c r="I50" s="17" t="n">
        <v>16.1</v>
      </c>
      <c r="J50" s="6" t="n">
        <f aca="false">IF(I50="","",ROUND(((I50-Q$11)/Q$12)*Q$18+Q$17,1))</f>
        <v>12.1</v>
      </c>
      <c r="K50" s="13" t="n">
        <v>522</v>
      </c>
      <c r="L50" s="6" t="n">
        <f aca="false">IF(K50="","",ROUND(((K50-Q$13)/Q$14)*Q$18+Q$17,1))</f>
        <v>12.3</v>
      </c>
      <c r="M50" s="13" t="n">
        <v>14</v>
      </c>
      <c r="N50" s="6" t="n">
        <f aca="false">IF(M50="","",ROUND(((M50-Q$15)/Q$16)*Q$18+Q$17,1))</f>
        <v>14</v>
      </c>
      <c r="O50" s="12"/>
      <c r="T50" s="5" t="s">
        <v>143</v>
      </c>
      <c r="U50" s="5" t="s">
        <v>190</v>
      </c>
      <c r="V50" s="6" t="n">
        <f aca="false">IFERROR(MIN(ROUND(MAX(0,AVERAGE(Y50,AA50,AC50,AE50,AG50)),1),12.2),"")</f>
        <v>10.6</v>
      </c>
      <c r="W50" s="7" t="n">
        <f aca="false">COUNT(X50,Z50,AB50,AD50,AF50)</f>
        <v>4</v>
      </c>
      <c r="X50" s="13" t="n">
        <v>11</v>
      </c>
      <c r="Y50" s="6" t="n">
        <f aca="false">IF(X50="","",ROUND(((X50-AJ$7)/AJ$8)*AJ$18+AJ$17,1))</f>
        <v>9.8</v>
      </c>
      <c r="Z50" s="13"/>
      <c r="AA50" s="6" t="str">
        <f aca="false">IF(Z50="","",ROUND(((Z50-AJ$9)/AJ$10)*AJ$18+AJ$17,1))</f>
        <v/>
      </c>
      <c r="AB50" s="13" t="n">
        <v>13.6</v>
      </c>
      <c r="AC50" s="6" t="n">
        <f aca="false">IF(AB50="","",ROUND(((AB50-AJ$11)/AJ$12)*AJ$18+AJ$17,1))</f>
        <v>11.4</v>
      </c>
      <c r="AD50" s="17" t="n">
        <v>441.7</v>
      </c>
      <c r="AE50" s="6" t="n">
        <f aca="false">IF(AD50="","",ROUND(((AD50-AJ$13)/AJ$14)*AJ$18+AJ$17,1))</f>
        <v>10.1</v>
      </c>
      <c r="AF50" s="13" t="n">
        <v>11</v>
      </c>
      <c r="AG50" s="6" t="n">
        <f aca="false">IF(AF50="","",ROUND(((AF50-AJ$15)/AJ$16)*AJ$18+AJ$17,1))</f>
        <v>11</v>
      </c>
      <c r="AH50" s="12"/>
    </row>
    <row r="51" customFormat="false" ht="15" hidden="false" customHeight="true" outlineLevel="0" collapsed="false">
      <c r="A51" s="5" t="s">
        <v>143</v>
      </c>
      <c r="B51" s="5" t="s">
        <v>191</v>
      </c>
      <c r="C51" s="6" t="n">
        <f aca="false">IFERROR(ROUND(MAX(0,AVERAGE(F51,H51,J51,L51,N51)),1),"")</f>
        <v>11.3</v>
      </c>
      <c r="D51" s="7" t="n">
        <f aca="false">COUNT(E51,G51,I51,K51,M51)</f>
        <v>4</v>
      </c>
      <c r="E51" s="13" t="n">
        <v>15</v>
      </c>
      <c r="F51" s="6" t="n">
        <f aca="false">IF(E51="","",ROUND(((E51-Q$7)/Q$8)*Q$18+Q$17,1))</f>
        <v>12.6</v>
      </c>
      <c r="G51" s="13"/>
      <c r="H51" s="6" t="str">
        <f aca="false">IF(G51="","",ROUND(((G51-Q$9)/Q$10)*Q$18+Q$17,1))</f>
        <v/>
      </c>
      <c r="I51" s="17" t="n">
        <v>17.2</v>
      </c>
      <c r="J51" s="6" t="n">
        <f aca="false">IF(I51="","",ROUND(((I51-Q$11)/Q$12)*Q$18+Q$17,1))</f>
        <v>13.7</v>
      </c>
      <c r="K51" s="13" t="n">
        <v>469</v>
      </c>
      <c r="L51" s="6" t="n">
        <f aca="false">IF(K51="","",ROUND(((K51-Q$13)/Q$14)*Q$18+Q$17,1))</f>
        <v>10.9</v>
      </c>
      <c r="M51" s="13" t="n">
        <v>8</v>
      </c>
      <c r="N51" s="6" t="n">
        <f aca="false">IF(M51="","",ROUND(((M51-Q$15)/Q$16)*Q$18+Q$17,1))</f>
        <v>8</v>
      </c>
      <c r="O51" s="12"/>
      <c r="T51" s="5" t="s">
        <v>143</v>
      </c>
      <c r="U51" s="5" t="s">
        <v>191</v>
      </c>
      <c r="V51" s="6" t="n">
        <f aca="false">IFERROR(MIN(ROUND(MAX(0,AVERAGE(Y51,AA51,AC51,AE51,AG51)),1),11.2),"")</f>
        <v>11.2</v>
      </c>
      <c r="W51" s="7" t="n">
        <f aca="false">COUNT(X51,Z51,AB51,AD51,AF51)</f>
        <v>4</v>
      </c>
      <c r="X51" s="13" t="n">
        <v>13</v>
      </c>
      <c r="Y51" s="6" t="n">
        <f aca="false">IF(X51="","",ROUND(((X51-AJ$7)/AJ$8)*AJ$18+AJ$17,1))</f>
        <v>11.6</v>
      </c>
      <c r="Z51" s="13"/>
      <c r="AA51" s="6" t="str">
        <f aca="false">IF(Z51="","",ROUND(((Z51-AJ$9)/AJ$10)*AJ$18+AJ$17,1))</f>
        <v/>
      </c>
      <c r="AB51" s="13" t="n">
        <v>17.2</v>
      </c>
      <c r="AC51" s="6" t="n">
        <f aca="false">IF(AB51="","",ROUND(((AB51-AJ$11)/AJ$12)*AJ$18+AJ$17,1))</f>
        <v>16.7</v>
      </c>
      <c r="AD51" s="17" t="n">
        <v>469</v>
      </c>
      <c r="AE51" s="6" t="n">
        <f aca="false">IF(AD51="","",ROUND(((AD51-AJ$13)/AJ$14)*AJ$18+AJ$17,1))</f>
        <v>10.8</v>
      </c>
      <c r="AF51" s="13" t="n">
        <v>8</v>
      </c>
      <c r="AG51" s="6" t="n">
        <f aca="false">IF(AF51="","",ROUND(((AF51-AJ$15)/AJ$16)*AJ$18+AJ$17,1))</f>
        <v>8</v>
      </c>
      <c r="AH51" s="12"/>
    </row>
    <row r="52" customFormat="false" ht="15" hidden="false" customHeight="true" outlineLevel="0" collapsed="false">
      <c r="A52" s="5" t="s">
        <v>143</v>
      </c>
      <c r="B52" s="5" t="s">
        <v>192</v>
      </c>
      <c r="C52" s="6" t="n">
        <f aca="false">IFERROR(ROUND(MAX(0,AVERAGE(F52,H52,J52,L52,N52)),1),"")</f>
        <v>10.7</v>
      </c>
      <c r="D52" s="7" t="n">
        <f aca="false">COUNT(E52,G52,I52,K52,M52)</f>
        <v>4</v>
      </c>
      <c r="E52" s="13" t="n">
        <v>12</v>
      </c>
      <c r="F52" s="6" t="n">
        <f aca="false">IF(E52="","",ROUND(((E52-Q$7)/Q$8)*Q$18+Q$17,1))</f>
        <v>9.9</v>
      </c>
      <c r="G52" s="13"/>
      <c r="H52" s="6" t="str">
        <f aca="false">IF(G52="","",ROUND(((G52-Q$9)/Q$10)*Q$18+Q$17,1))</f>
        <v/>
      </c>
      <c r="I52" s="17" t="n">
        <v>18.7</v>
      </c>
      <c r="J52" s="6" t="n">
        <f aca="false">IF(I52="","",ROUND(((I52-Q$11)/Q$12)*Q$18+Q$17,1))</f>
        <v>15.9</v>
      </c>
      <c r="K52" s="13" t="n">
        <v>474</v>
      </c>
      <c r="L52" s="6" t="n">
        <f aca="false">IF(K52="","",ROUND(((K52-Q$13)/Q$14)*Q$18+Q$17,1))</f>
        <v>11</v>
      </c>
      <c r="M52" s="13" t="n">
        <v>6</v>
      </c>
      <c r="N52" s="6" t="n">
        <f aca="false">IF(M52="","",ROUND(((M52-Q$15)/Q$16)*Q$18+Q$17,1))</f>
        <v>6</v>
      </c>
      <c r="O52" s="12"/>
      <c r="T52" s="5" t="s">
        <v>143</v>
      </c>
      <c r="U52" s="5" t="s">
        <v>192</v>
      </c>
      <c r="V52" s="6" t="n">
        <f aca="false">IFERROR(MIN(ROUND(MAX(0,AVERAGE(Y52,AA52,AC52,AE52,AG52)),1),10.6),"")</f>
        <v>9.3</v>
      </c>
      <c r="W52" s="7" t="n">
        <f aca="false">COUNT(X52,Z52,AB52,AD52,AF52)</f>
        <v>4</v>
      </c>
      <c r="X52" s="13" t="n">
        <v>10</v>
      </c>
      <c r="Y52" s="6" t="n">
        <f aca="false">IF(X52="","",ROUND(((X52-AJ$7)/AJ$8)*AJ$18+AJ$17,1))</f>
        <v>8.9</v>
      </c>
      <c r="Z52" s="13"/>
      <c r="AA52" s="6" t="str">
        <f aca="false">IF(Z52="","",ROUND(((Z52-AJ$9)/AJ$10)*AJ$18+AJ$17,1))</f>
        <v/>
      </c>
      <c r="AB52" s="13" t="n">
        <v>15.6</v>
      </c>
      <c r="AC52" s="6" t="n">
        <f aca="false">IF(AB52="","",ROUND(((AB52-AJ$11)/AJ$12)*AJ$18+AJ$17,1))</f>
        <v>14.3</v>
      </c>
      <c r="AD52" s="17" t="n">
        <v>395</v>
      </c>
      <c r="AE52" s="6" t="n">
        <f aca="false">IF(AD52="","",ROUND(((AD52-AJ$13)/AJ$14)*AJ$18+AJ$17,1))</f>
        <v>8.8</v>
      </c>
      <c r="AF52" s="13" t="n">
        <v>5</v>
      </c>
      <c r="AG52" s="6" t="n">
        <f aca="false">IF(AF52="","",ROUND(((AF52-AJ$15)/AJ$16)*AJ$18+AJ$17,1))</f>
        <v>5</v>
      </c>
      <c r="AH52" s="12"/>
    </row>
    <row r="53" customFormat="false" ht="15" hidden="false" customHeight="true" outlineLevel="0" collapsed="false">
      <c r="A53" s="5" t="s">
        <v>143</v>
      </c>
      <c r="B53" s="5" t="s">
        <v>193</v>
      </c>
      <c r="C53" s="6" t="n">
        <f aca="false">IFERROR(ROUND(MAX(0,AVERAGE(F53,H53,J53,L53,N53)),1),"")</f>
        <v>10.1</v>
      </c>
      <c r="D53" s="7" t="n">
        <f aca="false">COUNT(E53,G53,I53,K53,M53)</f>
        <v>4</v>
      </c>
      <c r="E53" s="13" t="n">
        <v>14</v>
      </c>
      <c r="F53" s="6" t="n">
        <f aca="false">IF(E53="","",ROUND(((E53-Q$7)/Q$8)*Q$18+Q$17,1))</f>
        <v>11.7</v>
      </c>
      <c r="G53" s="13"/>
      <c r="H53" s="6" t="str">
        <f aca="false">IF(G53="","",ROUND(((G53-Q$9)/Q$10)*Q$18+Q$17,1))</f>
        <v/>
      </c>
      <c r="I53" s="17" t="n">
        <v>15.8</v>
      </c>
      <c r="J53" s="6" t="n">
        <f aca="false">IF(I53="","",ROUND(((I53-Q$11)/Q$12)*Q$18+Q$17,1))</f>
        <v>11.6</v>
      </c>
      <c r="K53" s="13" t="n">
        <v>393</v>
      </c>
      <c r="L53" s="6" t="n">
        <f aca="false">IF(K53="","",ROUND(((K53-Q$13)/Q$14)*Q$18+Q$17,1))</f>
        <v>8.9</v>
      </c>
      <c r="M53" s="13" t="n">
        <v>8</v>
      </c>
      <c r="N53" s="6" t="n">
        <f aca="false">IF(M53="","",ROUND(((M53-Q$15)/Q$16)*Q$18+Q$17,1))</f>
        <v>8</v>
      </c>
      <c r="O53" s="12"/>
      <c r="T53" s="5" t="s">
        <v>143</v>
      </c>
      <c r="U53" s="5" t="s">
        <v>193</v>
      </c>
      <c r="V53" s="6" t="n">
        <f aca="false">IFERROR(MIN(ROUND(MAX(0,AVERAGE(Y53,AA53,AC53,AE53,AG53)),1),10),"")</f>
        <v>10</v>
      </c>
      <c r="W53" s="7" t="n">
        <f aca="false">COUNT(X53,Z53,AB53,AD53,AF53)</f>
        <v>4</v>
      </c>
      <c r="X53" s="13" t="n">
        <v>12</v>
      </c>
      <c r="Y53" s="6" t="n">
        <f aca="false">IF(X53="","",ROUND(((X53-AJ$7)/AJ$8)*AJ$18+AJ$17,1))</f>
        <v>10.7</v>
      </c>
      <c r="Z53" s="13"/>
      <c r="AA53" s="6" t="str">
        <f aca="false">IF(Z53="","",ROUND(((Z53-AJ$9)/AJ$10)*AJ$18+AJ$17,1))</f>
        <v/>
      </c>
      <c r="AB53" s="13" t="n">
        <v>15.8</v>
      </c>
      <c r="AC53" s="6" t="n">
        <f aca="false">IF(AB53="","",ROUND(((AB53-AJ$11)/AJ$12)*AJ$18+AJ$17,1))</f>
        <v>14.6</v>
      </c>
      <c r="AD53" s="17" t="n">
        <v>393</v>
      </c>
      <c r="AE53" s="6" t="n">
        <f aca="false">IF(AD53="","",ROUND(((AD53-AJ$13)/AJ$14)*AJ$18+AJ$17,1))</f>
        <v>8.8</v>
      </c>
      <c r="AF53" s="13" t="n">
        <v>8</v>
      </c>
      <c r="AG53" s="6" t="n">
        <f aca="false">IF(AF53="","",ROUND(((AF53-AJ$15)/AJ$16)*AJ$18+AJ$17,1))</f>
        <v>8</v>
      </c>
      <c r="AH53" s="12"/>
    </row>
    <row r="54" customFormat="false" ht="15" hidden="false" customHeight="true" outlineLevel="0" collapsed="false">
      <c r="A54" s="5" t="s">
        <v>143</v>
      </c>
      <c r="B54" s="5" t="s">
        <v>194</v>
      </c>
      <c r="C54" s="6" t="n">
        <f aca="false">IFERROR(ROUND(MAX(0,AVERAGE(F54,H54,J54,L54,N54)),1),"")</f>
        <v>9.6</v>
      </c>
      <c r="D54" s="7" t="n">
        <f aca="false">COUNT(E54,G54,I54,K54,M54)</f>
        <v>5</v>
      </c>
      <c r="E54" s="13" t="n">
        <v>14</v>
      </c>
      <c r="F54" s="6" t="n">
        <f aca="false">IF(E54="","",ROUND(((E54-Q$7)/Q$8)*Q$18+Q$17,1))</f>
        <v>11.7</v>
      </c>
      <c r="G54" s="13" t="n">
        <v>6</v>
      </c>
      <c r="H54" s="6" t="n">
        <f aca="false">IF(G54="","",ROUND(((G54-Q$9)/Q$10)*Q$18+Q$17,1))</f>
        <v>1.1</v>
      </c>
      <c r="I54" s="17" t="n">
        <v>13.9</v>
      </c>
      <c r="J54" s="6" t="n">
        <f aca="false">IF(I54="","",ROUND(((I54-Q$11)/Q$12)*Q$18+Q$17,1))</f>
        <v>8.9</v>
      </c>
      <c r="K54" s="13" t="n">
        <v>526</v>
      </c>
      <c r="L54" s="6" t="n">
        <f aca="false">IF(K54="","",ROUND(((K54-Q$13)/Q$14)*Q$18+Q$17,1))</f>
        <v>12.4</v>
      </c>
      <c r="M54" s="13" t="n">
        <v>14</v>
      </c>
      <c r="N54" s="6" t="n">
        <f aca="false">IF(M54="","",ROUND(((M54-Q$15)/Q$16)*Q$18+Q$17,1))</f>
        <v>14</v>
      </c>
      <c r="O54" s="12"/>
      <c r="T54" s="5" t="s">
        <v>143</v>
      </c>
      <c r="U54" s="5" t="s">
        <v>194</v>
      </c>
      <c r="V54" s="6" t="n">
        <f aca="false">IFERROR(MIN(ROUND(MAX(0,AVERAGE(Y54,AA54,AC54,AE54,AG54)),1),9.6),"")</f>
        <v>9.6</v>
      </c>
      <c r="W54" s="7" t="n">
        <f aca="false">COUNT(X54,Z54,AB54,AD54,AF54)</f>
        <v>5</v>
      </c>
      <c r="X54" s="13" t="n">
        <v>12</v>
      </c>
      <c r="Y54" s="6" t="n">
        <f aca="false">IF(X54="","",ROUND(((X54-AJ$7)/AJ$8)*AJ$18+AJ$17,1))</f>
        <v>10.7</v>
      </c>
      <c r="Z54" s="17" t="n">
        <v>6</v>
      </c>
      <c r="AA54" s="6" t="n">
        <f aca="false">IF(Z54="","",ROUND(((Z54-AJ$9)/AJ$10)*AJ$18+AJ$17,1))</f>
        <v>3.4</v>
      </c>
      <c r="AB54" s="13" t="n">
        <v>13.9</v>
      </c>
      <c r="AC54" s="6" t="n">
        <f aca="false">IF(AB54="","",ROUND(((AB54-AJ$11)/AJ$12)*AJ$18+AJ$17,1))</f>
        <v>11.9</v>
      </c>
      <c r="AD54" s="17" t="n">
        <v>526</v>
      </c>
      <c r="AE54" s="6" t="n">
        <f aca="false">IF(AD54="","",ROUND(((AD54-AJ$13)/AJ$14)*AJ$18+AJ$17,1))</f>
        <v>12.3</v>
      </c>
      <c r="AF54" s="13" t="n">
        <v>14</v>
      </c>
      <c r="AG54" s="6" t="n">
        <f aca="false">IF(AF54="","",ROUND(((AF54-AJ$15)/AJ$16)*AJ$18+AJ$17,1))</f>
        <v>14</v>
      </c>
      <c r="AH54" s="12"/>
    </row>
    <row r="55" customFormat="false" ht="15" hidden="false" customHeight="true" outlineLevel="0" collapsed="false">
      <c r="A55" s="5" t="s">
        <v>143</v>
      </c>
      <c r="B55" s="5" t="s">
        <v>195</v>
      </c>
      <c r="C55" s="6" t="n">
        <f aca="false">IFERROR(ROUND(MAX(0,AVERAGE(F55,H55,J55,L55,N55)),1),"")</f>
        <v>9.1</v>
      </c>
      <c r="D55" s="7" t="n">
        <f aca="false">COUNT(E55,G55,I55,K55,M55)</f>
        <v>3</v>
      </c>
      <c r="E55" s="13" t="n">
        <v>14</v>
      </c>
      <c r="F55" s="6" t="n">
        <f aca="false">IF(E55="","",ROUND(((E55-Q$7)/Q$8)*Q$18+Q$17,1))</f>
        <v>11.7</v>
      </c>
      <c r="G55" s="13"/>
      <c r="H55" s="6" t="str">
        <f aca="false">IF(G55="","",ROUND(((G55-Q$9)/Q$10)*Q$18+Q$17,1))</f>
        <v/>
      </c>
      <c r="I55" s="13"/>
      <c r="J55" s="6" t="str">
        <f aca="false">IF(I55="","",ROUND(((I55-Q$11)/Q$12)*Q$18+Q$17,1))</f>
        <v/>
      </c>
      <c r="K55" s="13" t="n">
        <v>384</v>
      </c>
      <c r="L55" s="6" t="n">
        <f aca="false">IF(K55="","",ROUND(((K55-Q$13)/Q$14)*Q$18+Q$17,1))</f>
        <v>8.7</v>
      </c>
      <c r="M55" s="13" t="n">
        <v>7</v>
      </c>
      <c r="N55" s="6" t="n">
        <f aca="false">IF(M55="","",ROUND(((M55-Q$15)/Q$16)*Q$18+Q$17,1))</f>
        <v>7</v>
      </c>
      <c r="O55" s="12"/>
      <c r="T55" s="5" t="s">
        <v>143</v>
      </c>
      <c r="U55" s="5" t="s">
        <v>195</v>
      </c>
      <c r="V55" s="6" t="n">
        <f aca="false">IFERROR(MIN(ROUND(MAX(0,AVERAGE(Y55,AA55,AC55,AE55,AG55)),1),9.1),"")</f>
        <v>7.9</v>
      </c>
      <c r="W55" s="7" t="n">
        <f aca="false">COUNT(X55,Z55,AB55,AD55,AF55)</f>
        <v>3</v>
      </c>
      <c r="X55" s="13" t="n">
        <v>12</v>
      </c>
      <c r="Y55" s="6" t="n">
        <f aca="false">IF(X55="","",ROUND(((X55-AJ$7)/AJ$8)*AJ$18+AJ$17,1))</f>
        <v>10.7</v>
      </c>
      <c r="Z55" s="13"/>
      <c r="AA55" s="6" t="str">
        <f aca="false">IF(Z55="","",ROUND(((Z55-AJ$9)/AJ$10)*AJ$18+AJ$17,1))</f>
        <v/>
      </c>
      <c r="AB55" s="13"/>
      <c r="AC55" s="6" t="str">
        <f aca="false">IF(AB55="","",ROUND(((AB55-AJ$11)/AJ$12)*AJ$18+AJ$17,1))</f>
        <v/>
      </c>
      <c r="AD55" s="17" t="n">
        <v>329.1</v>
      </c>
      <c r="AE55" s="6" t="n">
        <f aca="false">IF(AD55="","",ROUND(((AD55-AJ$13)/AJ$14)*AJ$18+AJ$17,1))</f>
        <v>7.1</v>
      </c>
      <c r="AF55" s="13" t="n">
        <v>6</v>
      </c>
      <c r="AG55" s="6" t="n">
        <f aca="false">IF(AF55="","",ROUND(((AF55-AJ$15)/AJ$16)*AJ$18+AJ$17,1))</f>
        <v>6</v>
      </c>
      <c r="AH55" s="12"/>
    </row>
    <row r="56" customFormat="false" ht="15" hidden="false" customHeight="true" outlineLevel="0" collapsed="false">
      <c r="A56" s="5" t="s">
        <v>143</v>
      </c>
      <c r="B56" s="5" t="s">
        <v>196</v>
      </c>
      <c r="C56" s="6" t="n">
        <f aca="false">IFERROR(ROUND(MAX(0,AVERAGE(F56,H56,J56,L56,N56)),1),"")</f>
        <v>9.1</v>
      </c>
      <c r="D56" s="7" t="n">
        <f aca="false">COUNT(E56,G56,I56,K56,M56)</f>
        <v>4</v>
      </c>
      <c r="E56" s="13" t="n">
        <v>24</v>
      </c>
      <c r="F56" s="6" t="n">
        <f aca="false">IF(E56="","",ROUND(((E56-Q$7)/Q$8)*Q$18+Q$17,1))</f>
        <v>20.7</v>
      </c>
      <c r="G56" s="13"/>
      <c r="H56" s="6" t="str">
        <f aca="false">IF(G56="","",ROUND(((G56-Q$9)/Q$10)*Q$18+Q$17,1))</f>
        <v/>
      </c>
      <c r="I56" s="17" t="n">
        <v>7.4</v>
      </c>
      <c r="J56" s="6" t="n">
        <f aca="false">IF(I56="","",ROUND(((I56-Q$11)/Q$12)*Q$18+Q$17,1))</f>
        <v>-0.6</v>
      </c>
      <c r="K56" s="13" t="n">
        <v>403</v>
      </c>
      <c r="L56" s="6" t="n">
        <f aca="false">IF(K56="","",ROUND(((K56-Q$13)/Q$14)*Q$18+Q$17,1))</f>
        <v>9.2</v>
      </c>
      <c r="M56" s="13" t="n">
        <v>7</v>
      </c>
      <c r="N56" s="6" t="n">
        <f aca="false">IF(M56="","",ROUND(((M56-Q$15)/Q$16)*Q$18+Q$17,1))</f>
        <v>7</v>
      </c>
      <c r="O56" s="12"/>
      <c r="T56" s="5" t="s">
        <v>143</v>
      </c>
      <c r="U56" s="5" t="s">
        <v>196</v>
      </c>
      <c r="V56" s="6" t="n">
        <f aca="false">IFERROR(MIN(ROUND(MAX(0,AVERAGE(Y56,AA56,AC56,AE56,AG56)),1),9),"")</f>
        <v>9</v>
      </c>
      <c r="W56" s="7" t="n">
        <f aca="false">COUNT(X56,Z56,AB56,AD56,AF56)</f>
        <v>4</v>
      </c>
      <c r="X56" s="13" t="n">
        <v>22</v>
      </c>
      <c r="Y56" s="6" t="n">
        <f aca="false">IF(X56="","",ROUND(((X56-AJ$7)/AJ$8)*AJ$18+AJ$17,1))</f>
        <v>19.8</v>
      </c>
      <c r="Z56" s="13"/>
      <c r="AA56" s="6" t="str">
        <f aca="false">IF(Z56="","",ROUND(((Z56-AJ$9)/AJ$10)*AJ$18+AJ$17,1))</f>
        <v/>
      </c>
      <c r="AB56" s="13" t="n">
        <v>7.4</v>
      </c>
      <c r="AC56" s="6" t="n">
        <f aca="false">IF(AB56="","",ROUND(((AB56-AJ$11)/AJ$12)*AJ$18+AJ$17,1))</f>
        <v>2.4</v>
      </c>
      <c r="AD56" s="17" t="n">
        <v>403</v>
      </c>
      <c r="AE56" s="6" t="n">
        <f aca="false">IF(AD56="","",ROUND(((AD56-AJ$13)/AJ$14)*AJ$18+AJ$17,1))</f>
        <v>9.1</v>
      </c>
      <c r="AF56" s="13" t="n">
        <v>7</v>
      </c>
      <c r="AG56" s="6" t="n">
        <f aca="false">IF(AF56="","",ROUND(((AF56-AJ$15)/AJ$16)*AJ$18+AJ$17,1))</f>
        <v>7</v>
      </c>
      <c r="AH56" s="12"/>
    </row>
    <row r="57" customFormat="false" ht="15" hidden="false" customHeight="true" outlineLevel="0" collapsed="false">
      <c r="A57" s="5" t="s">
        <v>143</v>
      </c>
      <c r="B57" s="5" t="s">
        <v>183</v>
      </c>
      <c r="C57" s="6" t="n">
        <f aca="false">IFERROR(ROUND(MAX(0,AVERAGE(F57,H57,J57,L57,N57)),1),"")</f>
        <v>9</v>
      </c>
      <c r="D57" s="7" t="n">
        <f aca="false">COUNT(E57,G57,I57,K57,M57)</f>
        <v>5</v>
      </c>
      <c r="E57" s="13" t="n">
        <v>11</v>
      </c>
      <c r="F57" s="6" t="n">
        <f aca="false">IF(E57="","",ROUND(((E57-Q$7)/Q$8)*Q$18+Q$17,1))</f>
        <v>8.9</v>
      </c>
      <c r="G57" s="13" t="n">
        <v>6</v>
      </c>
      <c r="H57" s="6" t="n">
        <f aca="false">IF(G57="","",ROUND(((G57-Q$9)/Q$10)*Q$18+Q$17,1))</f>
        <v>1.1</v>
      </c>
      <c r="I57" s="17" t="n">
        <v>13.3</v>
      </c>
      <c r="J57" s="6" t="n">
        <f aca="false">IF(I57="","",ROUND(((I57-Q$11)/Q$12)*Q$18+Q$17,1))</f>
        <v>8</v>
      </c>
      <c r="K57" s="13" t="n">
        <v>427</v>
      </c>
      <c r="L57" s="6" t="n">
        <f aca="false">IF(K57="","",ROUND(((K57-Q$13)/Q$14)*Q$18+Q$17,1))</f>
        <v>9.8</v>
      </c>
      <c r="M57" s="13" t="n">
        <v>17</v>
      </c>
      <c r="N57" s="6" t="n">
        <f aca="false">IF(M57="","",ROUND(((M57-Q$15)/Q$16)*Q$18+Q$17,1))</f>
        <v>17</v>
      </c>
      <c r="O57" s="12"/>
      <c r="T57" s="5" t="s">
        <v>143</v>
      </c>
      <c r="U57" s="5" t="s">
        <v>183</v>
      </c>
      <c r="V57" s="6" t="n">
        <f aca="false">IFERROR(MIN(ROUND(MAX(0,AVERAGE(Y57,AA57,AC57,AE57,AG57)),1),8.9),"")</f>
        <v>8.9</v>
      </c>
      <c r="W57" s="7" t="n">
        <f aca="false">COUNT(X57,Z57,AB57,AD57,AF57)</f>
        <v>5</v>
      </c>
      <c r="X57" s="13" t="n">
        <v>10</v>
      </c>
      <c r="Y57" s="6" t="n">
        <f aca="false">IF(X57="","",ROUND(((X57-AJ$7)/AJ$8)*AJ$18+AJ$17,1))</f>
        <v>8.9</v>
      </c>
      <c r="Z57" s="13" t="n">
        <v>5.5</v>
      </c>
      <c r="AA57" s="6" t="n">
        <f aca="false">IF(Z57="","",ROUND(((Z57-AJ$9)/AJ$10)*AJ$18+AJ$17,1))</f>
        <v>2.6</v>
      </c>
      <c r="AB57" s="13" t="n">
        <v>12.2</v>
      </c>
      <c r="AC57" s="6" t="n">
        <f aca="false">IF(AB57="","",ROUND(((AB57-AJ$11)/AJ$12)*AJ$18+AJ$17,1))</f>
        <v>9.4</v>
      </c>
      <c r="AD57" s="17" t="n">
        <v>391.4</v>
      </c>
      <c r="AE57" s="6" t="n">
        <f aca="false">IF(AD57="","",ROUND(((AD57-AJ$13)/AJ$14)*AJ$18+AJ$17,1))</f>
        <v>8.8</v>
      </c>
      <c r="AF57" s="13" t="n">
        <v>17</v>
      </c>
      <c r="AG57" s="6" t="n">
        <f aca="false">IF(AF57="","",ROUND(((AF57-AJ$15)/AJ$16)*AJ$18+AJ$17,1))</f>
        <v>17</v>
      </c>
      <c r="AH57" s="12"/>
    </row>
    <row r="58" customFormat="false" ht="15" hidden="false" customHeight="true" outlineLevel="0" collapsed="false">
      <c r="A58" s="5" t="s">
        <v>143</v>
      </c>
      <c r="B58" s="5" t="s">
        <v>197</v>
      </c>
      <c r="C58" s="6" t="n">
        <f aca="false">IFERROR(ROUND(MAX(0,AVERAGE(F58,H58,J58,L58,N58)),1),"")</f>
        <v>8.7</v>
      </c>
      <c r="D58" s="7" t="n">
        <f aca="false">COUNT(E58,G58,I58,K58,M58)</f>
        <v>4</v>
      </c>
      <c r="E58" s="13" t="n">
        <v>9</v>
      </c>
      <c r="F58" s="6" t="n">
        <f aca="false">IF(E58="","",ROUND(((E58-Q$7)/Q$8)*Q$18+Q$17,1))</f>
        <v>7.1</v>
      </c>
      <c r="G58" s="13"/>
      <c r="H58" s="6" t="str">
        <f aca="false">IF(G58="","",ROUND(((G58-Q$9)/Q$10)*Q$18+Q$17,1))</f>
        <v/>
      </c>
      <c r="I58" s="17" t="n">
        <v>13.1</v>
      </c>
      <c r="J58" s="6" t="n">
        <f aca="false">IF(I58="","",ROUND(((I58-Q$11)/Q$12)*Q$18+Q$17,1))</f>
        <v>7.7</v>
      </c>
      <c r="K58" s="13" t="n">
        <v>431</v>
      </c>
      <c r="L58" s="6" t="n">
        <f aca="false">IF(K58="","",ROUND(((K58-Q$13)/Q$14)*Q$18+Q$17,1))</f>
        <v>9.9</v>
      </c>
      <c r="M58" s="13" t="n">
        <v>10</v>
      </c>
      <c r="N58" s="6" t="n">
        <f aca="false">IF(M58="","",ROUND(((M58-Q$15)/Q$16)*Q$18+Q$17,1))</f>
        <v>10</v>
      </c>
      <c r="O58" s="12"/>
      <c r="T58" s="5" t="s">
        <v>143</v>
      </c>
      <c r="U58" s="5" t="s">
        <v>197</v>
      </c>
      <c r="V58" s="6" t="n">
        <f aca="false">IFERROR(MIN(ROUND(MAX(0,AVERAGE(Y58,AA58,AC58,AE58,AG58)),1),8.6),"")</f>
        <v>8.6</v>
      </c>
      <c r="W58" s="7" t="n">
        <f aca="false">COUNT(X58,Z58,AB58,AD58,AF58)</f>
        <v>4</v>
      </c>
      <c r="X58" s="13" t="n">
        <v>8</v>
      </c>
      <c r="Y58" s="6" t="n">
        <f aca="false">IF(X58="","",ROUND(((X58-AJ$7)/AJ$8)*AJ$18+AJ$17,1))</f>
        <v>7.1</v>
      </c>
      <c r="Z58" s="13"/>
      <c r="AA58" s="6" t="str">
        <f aca="false">IF(Z58="","",ROUND(((Z58-AJ$9)/AJ$10)*AJ$18+AJ$17,1))</f>
        <v/>
      </c>
      <c r="AB58" s="13" t="n">
        <v>13.1</v>
      </c>
      <c r="AC58" s="6" t="n">
        <f aca="false">IF(AB58="","",ROUND(((AB58-AJ$11)/AJ$12)*AJ$18+AJ$17,1))</f>
        <v>10.7</v>
      </c>
      <c r="AD58" s="17" t="n">
        <v>431</v>
      </c>
      <c r="AE58" s="6" t="n">
        <f aca="false">IF(AD58="","",ROUND(((AD58-AJ$13)/AJ$14)*AJ$18+AJ$17,1))</f>
        <v>9.8</v>
      </c>
      <c r="AF58" s="13" t="n">
        <v>10</v>
      </c>
      <c r="AG58" s="6" t="n">
        <f aca="false">IF(AF58="","",ROUND(((AF58-AJ$15)/AJ$16)*AJ$18+AJ$17,1))</f>
        <v>10</v>
      </c>
      <c r="AH58" s="12"/>
    </row>
    <row r="59" customFormat="false" ht="15" hidden="false" customHeight="true" outlineLevel="0" collapsed="false">
      <c r="A59" s="5" t="s">
        <v>143</v>
      </c>
      <c r="B59" s="5" t="s">
        <v>198</v>
      </c>
      <c r="C59" s="6" t="n">
        <f aca="false">IFERROR(ROUND(MAX(0,AVERAGE(F59,H59,J59,L59,N59)),1),"")</f>
        <v>8.3</v>
      </c>
      <c r="D59" s="7" t="n">
        <f aca="false">COUNT(E59,G59,I59,K59,M59)</f>
        <v>4</v>
      </c>
      <c r="E59" s="13" t="n">
        <v>10</v>
      </c>
      <c r="F59" s="6" t="n">
        <f aca="false">IF(E59="","",ROUND(((E59-Q$7)/Q$8)*Q$18+Q$17,1))</f>
        <v>8</v>
      </c>
      <c r="G59" s="13"/>
      <c r="H59" s="6" t="str">
        <f aca="false">IF(G59="","",ROUND(((G59-Q$9)/Q$10)*Q$18+Q$17,1))</f>
        <v/>
      </c>
      <c r="I59" s="17" t="n">
        <v>16.2</v>
      </c>
      <c r="J59" s="6" t="n">
        <f aca="false">IF(I59="","",ROUND(((I59-Q$11)/Q$12)*Q$18+Q$17,1))</f>
        <v>12.2</v>
      </c>
      <c r="K59" s="13" t="n">
        <v>317</v>
      </c>
      <c r="L59" s="6" t="n">
        <f aca="false">IF(K59="","",ROUND(((K59-Q$13)/Q$14)*Q$18+Q$17,1))</f>
        <v>6.9</v>
      </c>
      <c r="M59" s="13" t="n">
        <v>6</v>
      </c>
      <c r="N59" s="6" t="n">
        <f aca="false">IF(M59="","",ROUND(((M59-Q$15)/Q$16)*Q$18+Q$17,1))</f>
        <v>6</v>
      </c>
      <c r="O59" s="12"/>
      <c r="T59" s="5" t="s">
        <v>143</v>
      </c>
      <c r="U59" s="5" t="s">
        <v>198</v>
      </c>
      <c r="V59" s="6" t="n">
        <f aca="false">IFERROR(MIN(ROUND(MAX(0,AVERAGE(Y59,AA59,AC59,AE59,AG59)),1),8.2),"")</f>
        <v>8</v>
      </c>
      <c r="W59" s="7" t="n">
        <f aca="false">COUNT(X59,Z59,AB59,AD59,AF59)</f>
        <v>4</v>
      </c>
      <c r="X59" s="13" t="n">
        <v>9</v>
      </c>
      <c r="Y59" s="6" t="n">
        <f aca="false">IF(X59="","",ROUND(((X59-AJ$7)/AJ$8)*AJ$18+AJ$17,1))</f>
        <v>8</v>
      </c>
      <c r="Z59" s="13"/>
      <c r="AA59" s="6" t="str">
        <f aca="false">IF(Z59="","",ROUND(((Z59-AJ$9)/AJ$10)*AJ$18+AJ$17,1))</f>
        <v/>
      </c>
      <c r="AB59" s="13" t="n">
        <v>14.6</v>
      </c>
      <c r="AC59" s="6" t="n">
        <f aca="false">IF(AB59="","",ROUND(((AB59-AJ$11)/AJ$12)*AJ$18+AJ$17,1))</f>
        <v>12.9</v>
      </c>
      <c r="AD59" s="17" t="n">
        <v>285.3</v>
      </c>
      <c r="AE59" s="6" t="n">
        <f aca="false">IF(AD59="","",ROUND(((AD59-AJ$13)/AJ$14)*AJ$18+AJ$17,1))</f>
        <v>6</v>
      </c>
      <c r="AF59" s="13" t="n">
        <v>5</v>
      </c>
      <c r="AG59" s="6" t="n">
        <f aca="false">IF(AF59="","",ROUND(((AF59-AJ$15)/AJ$16)*AJ$18+AJ$17,1))</f>
        <v>5</v>
      </c>
      <c r="AH59" s="12"/>
    </row>
    <row r="60" customFormat="false" ht="15" hidden="false" customHeight="true" outlineLevel="0" collapsed="false">
      <c r="A60" s="5" t="s">
        <v>143</v>
      </c>
      <c r="B60" s="5" t="s">
        <v>199</v>
      </c>
      <c r="C60" s="6" t="n">
        <f aca="false">IFERROR(ROUND(MAX(0,AVERAGE(F60,H60,J60,L60,N60)),1),"")</f>
        <v>8.2</v>
      </c>
      <c r="D60" s="7" t="n">
        <f aca="false">COUNT(E60,G60,I60,K60,M60)</f>
        <v>4</v>
      </c>
      <c r="E60" s="13" t="n">
        <v>8</v>
      </c>
      <c r="F60" s="6" t="n">
        <f aca="false">IF(E60="","",ROUND(((E60-Q$7)/Q$8)*Q$18+Q$17,1))</f>
        <v>6.2</v>
      </c>
      <c r="G60" s="13"/>
      <c r="H60" s="6" t="str">
        <f aca="false">IF(G60="","",ROUND(((G60-Q$9)/Q$10)*Q$18+Q$17,1))</f>
        <v/>
      </c>
      <c r="I60" s="17" t="n">
        <v>15.2</v>
      </c>
      <c r="J60" s="6" t="n">
        <f aca="false">IF(I60="","",ROUND(((I60-Q$11)/Q$12)*Q$18+Q$17,1))</f>
        <v>10.8</v>
      </c>
      <c r="K60" s="13" t="n">
        <v>389</v>
      </c>
      <c r="L60" s="6" t="n">
        <f aca="false">IF(K60="","",ROUND(((K60-Q$13)/Q$14)*Q$18+Q$17,1))</f>
        <v>8.8</v>
      </c>
      <c r="M60" s="13" t="n">
        <v>7</v>
      </c>
      <c r="N60" s="6" t="n">
        <f aca="false">IF(M60="","",ROUND(((M60-Q$15)/Q$16)*Q$18+Q$17,1))</f>
        <v>7</v>
      </c>
      <c r="O60" s="12"/>
      <c r="T60" s="5" t="s">
        <v>143</v>
      </c>
      <c r="U60" s="5" t="s">
        <v>199</v>
      </c>
      <c r="V60" s="6" t="n">
        <f aca="false">IFERROR(MIN(ROUND(MAX(0,AVERAGE(Y60,AA60,AC60,AE60,AG60)),1),8.1),"")</f>
        <v>8.1</v>
      </c>
      <c r="W60" s="7" t="n">
        <f aca="false">COUNT(X60,Z60,AB60,AD60,AF60)</f>
        <v>4</v>
      </c>
      <c r="X60" s="13" t="n">
        <v>7</v>
      </c>
      <c r="Y60" s="6" t="n">
        <f aca="false">IF(X60="","",ROUND(((X60-AJ$7)/AJ$8)*AJ$18+AJ$17,1))</f>
        <v>6.2</v>
      </c>
      <c r="Z60" s="13"/>
      <c r="AA60" s="6" t="str">
        <f aca="false">IF(Z60="","",ROUND(((Z60-AJ$9)/AJ$10)*AJ$18+AJ$17,1))</f>
        <v/>
      </c>
      <c r="AB60" s="13" t="n">
        <v>15.2</v>
      </c>
      <c r="AC60" s="6" t="n">
        <f aca="false">IF(AB60="","",ROUND(((AB60-AJ$11)/AJ$12)*AJ$18+AJ$17,1))</f>
        <v>13.8</v>
      </c>
      <c r="AD60" s="17" t="n">
        <v>389</v>
      </c>
      <c r="AE60" s="6" t="n">
        <f aca="false">IF(AD60="","",ROUND(((AD60-AJ$13)/AJ$14)*AJ$18+AJ$17,1))</f>
        <v>8.7</v>
      </c>
      <c r="AF60" s="13" t="n">
        <v>7</v>
      </c>
      <c r="AG60" s="6" t="n">
        <f aca="false">IF(AF60="","",ROUND(((AF60-AJ$15)/AJ$16)*AJ$18+AJ$17,1))</f>
        <v>7</v>
      </c>
      <c r="AH60" s="12"/>
    </row>
    <row r="61" customFormat="false" ht="15" hidden="false" customHeight="true" outlineLevel="0" collapsed="false">
      <c r="A61" s="5" t="s">
        <v>143</v>
      </c>
      <c r="B61" s="5" t="s">
        <v>200</v>
      </c>
      <c r="C61" s="6" t="n">
        <f aca="false">IFERROR(ROUND(MAX(0,AVERAGE(F61,H61,J61,L61,N61)),1),"")</f>
        <v>8</v>
      </c>
      <c r="D61" s="7" t="n">
        <f aca="false">COUNT(E61,G61,I61,K61,M61)</f>
        <v>4</v>
      </c>
      <c r="E61" s="13" t="n">
        <v>7</v>
      </c>
      <c r="F61" s="6" t="n">
        <f aca="false">IF(E61="","",ROUND(((E61-Q$7)/Q$8)*Q$18+Q$17,1))</f>
        <v>5.3</v>
      </c>
      <c r="G61" s="13"/>
      <c r="H61" s="6" t="str">
        <f aca="false">IF(G61="","",ROUND(((G61-Q$9)/Q$10)*Q$18+Q$17,1))</f>
        <v/>
      </c>
      <c r="I61" s="17" t="n">
        <v>14.3</v>
      </c>
      <c r="J61" s="6" t="n">
        <f aca="false">IF(I61="","",ROUND(((I61-Q$11)/Q$12)*Q$18+Q$17,1))</f>
        <v>9.5</v>
      </c>
      <c r="K61" s="13" t="n">
        <v>329</v>
      </c>
      <c r="L61" s="6" t="n">
        <f aca="false">IF(K61="","",ROUND(((K61-Q$13)/Q$14)*Q$18+Q$17,1))</f>
        <v>7.2</v>
      </c>
      <c r="M61" s="13" t="n">
        <v>10</v>
      </c>
      <c r="N61" s="6" t="n">
        <f aca="false">IF(M61="","",ROUND(((M61-Q$15)/Q$16)*Q$18+Q$17,1))</f>
        <v>10</v>
      </c>
      <c r="O61" s="12"/>
      <c r="T61" s="5" t="s">
        <v>143</v>
      </c>
      <c r="U61" s="5" t="s">
        <v>200</v>
      </c>
      <c r="V61" s="6" t="n">
        <f aca="false">IFERROR(MIN(ROUND(MAX(0,AVERAGE(Y61,AA61,AC61,AE61,AG61)),1),7.9),"")</f>
        <v>7.7</v>
      </c>
      <c r="W61" s="7" t="n">
        <f aca="false">COUNT(X61,Z61,AB61,AD61,AF61)</f>
        <v>4</v>
      </c>
      <c r="X61" s="13" t="n">
        <v>6</v>
      </c>
      <c r="Y61" s="6" t="n">
        <f aca="false">IF(X61="","",ROUND(((X61-AJ$7)/AJ$8)*AJ$18+AJ$17,1))</f>
        <v>5.2</v>
      </c>
      <c r="Z61" s="13"/>
      <c r="AA61" s="6" t="str">
        <f aca="false">IF(Z61="","",ROUND(((Z61-AJ$9)/AJ$10)*AJ$18+AJ$17,1))</f>
        <v/>
      </c>
      <c r="AB61" s="13" t="n">
        <v>12.9</v>
      </c>
      <c r="AC61" s="6" t="n">
        <f aca="false">IF(AB61="","",ROUND(((AB61-AJ$11)/AJ$12)*AJ$18+AJ$17,1))</f>
        <v>10.4</v>
      </c>
      <c r="AD61" s="17" t="n">
        <v>296.1</v>
      </c>
      <c r="AE61" s="6" t="n">
        <f aca="false">IF(AD61="","",ROUND(((AD61-AJ$13)/AJ$14)*AJ$18+AJ$17,1))</f>
        <v>6.2</v>
      </c>
      <c r="AF61" s="13" t="n">
        <v>9</v>
      </c>
      <c r="AG61" s="6" t="n">
        <f aca="false">IF(AF61="","",ROUND(((AF61-AJ$15)/AJ$16)*AJ$18+AJ$17,1))</f>
        <v>9</v>
      </c>
      <c r="AH61" s="12"/>
    </row>
    <row r="62" customFormat="false" ht="15" hidden="false" customHeight="true" outlineLevel="0" collapsed="false">
      <c r="A62" s="5" t="s">
        <v>143</v>
      </c>
      <c r="B62" s="5" t="s">
        <v>201</v>
      </c>
      <c r="C62" s="6" t="n">
        <f aca="false">IFERROR(ROUND(MAX(0,AVERAGE(F62,H62,J62,L62,N62)),1),"")</f>
        <v>7.8</v>
      </c>
      <c r="D62" s="7" t="n">
        <f aca="false">COUNT(E62,G62,I62,K62,M62)</f>
        <v>4</v>
      </c>
      <c r="E62" s="13" t="n">
        <v>9</v>
      </c>
      <c r="F62" s="6" t="n">
        <f aca="false">IF(E62="","",ROUND(((E62-Q$7)/Q$8)*Q$18+Q$17,1))</f>
        <v>7.1</v>
      </c>
      <c r="G62" s="13"/>
      <c r="H62" s="6" t="str">
        <f aca="false">IF(G62="","",ROUND(((G62-Q$9)/Q$10)*Q$18+Q$17,1))</f>
        <v/>
      </c>
      <c r="I62" s="17" t="n">
        <v>15.8</v>
      </c>
      <c r="J62" s="6" t="n">
        <f aca="false">IF(I62="","",ROUND(((I62-Q$11)/Q$12)*Q$18+Q$17,1))</f>
        <v>11.6</v>
      </c>
      <c r="K62" s="13" t="n">
        <v>263</v>
      </c>
      <c r="L62" s="6" t="n">
        <f aca="false">IF(K62="","",ROUND(((K62-Q$13)/Q$14)*Q$18+Q$17,1))</f>
        <v>5.5</v>
      </c>
      <c r="M62" s="13" t="n">
        <v>7</v>
      </c>
      <c r="N62" s="6" t="n">
        <f aca="false">IF(M62="","",ROUND(((M62-Q$15)/Q$16)*Q$18+Q$17,1))</f>
        <v>7</v>
      </c>
      <c r="O62" s="12"/>
      <c r="T62" s="5" t="s">
        <v>143</v>
      </c>
      <c r="U62" s="5" t="s">
        <v>201</v>
      </c>
      <c r="V62" s="6" t="n">
        <f aca="false">IFERROR(MIN(ROUND(MAX(0,AVERAGE(Y62,AA62,AC62,AE62,AG62)),1),7.8),"")</f>
        <v>7.8</v>
      </c>
      <c r="W62" s="7" t="n">
        <f aca="false">COUNT(X62,Z62,AB62,AD62,AF62)</f>
        <v>4</v>
      </c>
      <c r="X62" s="13" t="n">
        <v>8</v>
      </c>
      <c r="Y62" s="6" t="n">
        <f aca="false">IF(X62="","",ROUND(((X62-AJ$7)/AJ$8)*AJ$18+AJ$17,1))</f>
        <v>7.1</v>
      </c>
      <c r="Z62" s="13"/>
      <c r="AA62" s="6" t="str">
        <f aca="false">IF(Z62="","",ROUND(((Z62-AJ$9)/AJ$10)*AJ$18+AJ$17,1))</f>
        <v/>
      </c>
      <c r="AB62" s="13" t="n">
        <v>15.8</v>
      </c>
      <c r="AC62" s="6" t="n">
        <f aca="false">IF(AB62="","",ROUND(((AB62-AJ$11)/AJ$12)*AJ$18+AJ$17,1))</f>
        <v>14.6</v>
      </c>
      <c r="AD62" s="17" t="n">
        <v>263</v>
      </c>
      <c r="AE62" s="6" t="n">
        <f aca="false">IF(AD62="","",ROUND(((AD62-AJ$13)/AJ$14)*AJ$18+AJ$17,1))</f>
        <v>5.4</v>
      </c>
      <c r="AF62" s="13" t="n">
        <v>7</v>
      </c>
      <c r="AG62" s="6" t="n">
        <f aca="false">IF(AF62="","",ROUND(((AF62-AJ$15)/AJ$16)*AJ$18+AJ$17,1))</f>
        <v>7</v>
      </c>
      <c r="AH62" s="12"/>
    </row>
    <row r="63" customFormat="false" ht="15" hidden="false" customHeight="true" outlineLevel="0" collapsed="false">
      <c r="A63" s="5" t="s">
        <v>143</v>
      </c>
      <c r="B63" s="5" t="s">
        <v>202</v>
      </c>
      <c r="C63" s="6" t="n">
        <f aca="false">IFERROR(ROUND(MAX(0,AVERAGE(F63,H63,J63,L63,N63)),1),"")</f>
        <v>7.8</v>
      </c>
      <c r="D63" s="7" t="n">
        <f aca="false">COUNT(E63,G63,I63,K63,M63)</f>
        <v>5</v>
      </c>
      <c r="E63" s="13" t="n">
        <v>12</v>
      </c>
      <c r="F63" s="6" t="n">
        <f aca="false">IF(E63="","",ROUND(((E63-Q$7)/Q$8)*Q$18+Q$17,1))</f>
        <v>9.9</v>
      </c>
      <c r="G63" s="13" t="n">
        <v>6</v>
      </c>
      <c r="H63" s="6" t="n">
        <f aca="false">IF(G63="","",ROUND(((G63-Q$9)/Q$10)*Q$18+Q$17,1))</f>
        <v>1.1</v>
      </c>
      <c r="I63" s="17" t="n">
        <v>9.9</v>
      </c>
      <c r="J63" s="6" t="n">
        <f aca="false">IF(I63="","",ROUND(((I63-Q$11)/Q$12)*Q$18+Q$17,1))</f>
        <v>3.1</v>
      </c>
      <c r="K63" s="13" t="n">
        <v>503</v>
      </c>
      <c r="L63" s="6" t="n">
        <f aca="false">IF(K63="","",ROUND(((K63-Q$13)/Q$14)*Q$18+Q$17,1))</f>
        <v>11.8</v>
      </c>
      <c r="M63" s="13" t="n">
        <v>13</v>
      </c>
      <c r="N63" s="6" t="n">
        <f aca="false">IF(M63="","",ROUND(((M63-Q$15)/Q$16)*Q$18+Q$17,1))</f>
        <v>13</v>
      </c>
      <c r="O63" s="12"/>
      <c r="T63" s="5" t="s">
        <v>143</v>
      </c>
      <c r="U63" s="5" t="s">
        <v>202</v>
      </c>
      <c r="V63" s="6" t="n">
        <f aca="false">IFERROR(MIN(ROUND(MAX(0,AVERAGE(Y63,AA63,AC63,AE63,AG63)),1),7.7),"")</f>
        <v>7.1</v>
      </c>
      <c r="W63" s="7" t="n">
        <f aca="false">COUNT(X63,Z63,AB63,AD63,AF63)</f>
        <v>5</v>
      </c>
      <c r="X63" s="13" t="n">
        <v>10</v>
      </c>
      <c r="Y63" s="6" t="n">
        <f aca="false">IF(X63="","",ROUND(((X63-AJ$7)/AJ$8)*AJ$18+AJ$17,1))</f>
        <v>8.9</v>
      </c>
      <c r="Z63" s="17" t="n">
        <v>5.1</v>
      </c>
      <c r="AA63" s="6" t="n">
        <f aca="false">IF(Z63="","",ROUND(((Z63-AJ$9)/AJ$10)*AJ$18+AJ$17,1))</f>
        <v>2</v>
      </c>
      <c r="AB63" s="13" t="n">
        <v>8.4</v>
      </c>
      <c r="AC63" s="6" t="n">
        <f aca="false">IF(AB63="","",ROUND(((AB63-AJ$11)/AJ$12)*AJ$18+AJ$17,1))</f>
        <v>3.9</v>
      </c>
      <c r="AD63" s="17" t="n">
        <v>425.6</v>
      </c>
      <c r="AE63" s="6" t="n">
        <f aca="false">IF(AD63="","",ROUND(((AD63-AJ$13)/AJ$14)*AJ$18+AJ$17,1))</f>
        <v>9.7</v>
      </c>
      <c r="AF63" s="13" t="n">
        <v>11</v>
      </c>
      <c r="AG63" s="6" t="n">
        <f aca="false">IF(AF63="","",ROUND(((AF63-AJ$15)/AJ$16)*AJ$18+AJ$17,1))</f>
        <v>11</v>
      </c>
      <c r="AH63" s="12"/>
    </row>
    <row r="64" customFormat="false" ht="15" hidden="false" customHeight="true" outlineLevel="0" collapsed="false">
      <c r="A64" s="5" t="s">
        <v>143</v>
      </c>
      <c r="B64" s="5" t="s">
        <v>203</v>
      </c>
      <c r="C64" s="6" t="n">
        <f aca="false">IFERROR(ROUND(MAX(0,AVERAGE(F64,H64,J64,L64,N64)),1),"")</f>
        <v>7.5</v>
      </c>
      <c r="D64" s="7" t="n">
        <f aca="false">COUNT(E64,G64,I64,K64,M64)</f>
        <v>3</v>
      </c>
      <c r="E64" s="13" t="n">
        <v>8</v>
      </c>
      <c r="F64" s="6" t="n">
        <f aca="false">IF(E64="","",ROUND(((E64-Q$7)/Q$8)*Q$18+Q$17,1))</f>
        <v>6.2</v>
      </c>
      <c r="G64" s="13"/>
      <c r="H64" s="6" t="str">
        <f aca="false">IF(G64="","",ROUND(((G64-Q$9)/Q$10)*Q$18+Q$17,1))</f>
        <v/>
      </c>
      <c r="I64" s="13"/>
      <c r="J64" s="6" t="str">
        <f aca="false">IF(I64="","",ROUND(((I64-Q$11)/Q$12)*Q$18+Q$17,1))</f>
        <v/>
      </c>
      <c r="K64" s="13" t="n">
        <v>441</v>
      </c>
      <c r="L64" s="6" t="n">
        <f aca="false">IF(K64="","",ROUND(((K64-Q$13)/Q$14)*Q$18+Q$17,1))</f>
        <v>10.2</v>
      </c>
      <c r="M64" s="13" t="n">
        <v>6</v>
      </c>
      <c r="N64" s="6" t="n">
        <f aca="false">IF(M64="","",ROUND(((M64-Q$15)/Q$16)*Q$18+Q$17,1))</f>
        <v>6</v>
      </c>
      <c r="O64" s="12"/>
      <c r="T64" s="5" t="s">
        <v>143</v>
      </c>
      <c r="U64" s="5" t="s">
        <v>203</v>
      </c>
      <c r="V64" s="6" t="n">
        <f aca="false">IFERROR(MIN(ROUND(MAX(0,AVERAGE(Y64,AA64,AC64,AE64,AG64)),1),7.4),"")</f>
        <v>7.4</v>
      </c>
      <c r="W64" s="7" t="n">
        <f aca="false">COUNT(X64,Z64,AB64,AD64,AF64)</f>
        <v>3</v>
      </c>
      <c r="X64" s="13" t="n">
        <v>7</v>
      </c>
      <c r="Y64" s="6" t="n">
        <f aca="false">IF(X64="","",ROUND(((X64-AJ$7)/AJ$8)*AJ$18+AJ$17,1))</f>
        <v>6.2</v>
      </c>
      <c r="Z64" s="13"/>
      <c r="AA64" s="6" t="str">
        <f aca="false">IF(Z64="","",ROUND(((Z64-AJ$9)/AJ$10)*AJ$18+AJ$17,1))</f>
        <v/>
      </c>
      <c r="AB64" s="13"/>
      <c r="AC64" s="6" t="str">
        <f aca="false">IF(AB64="","",ROUND(((AB64-AJ$11)/AJ$12)*AJ$18+AJ$17,1))</f>
        <v/>
      </c>
      <c r="AD64" s="17" t="n">
        <v>441</v>
      </c>
      <c r="AE64" s="6" t="n">
        <f aca="false">IF(AD64="","",ROUND(((AD64-AJ$13)/AJ$14)*AJ$18+AJ$17,1))</f>
        <v>10.1</v>
      </c>
      <c r="AF64" s="13" t="n">
        <v>6</v>
      </c>
      <c r="AG64" s="6" t="n">
        <f aca="false">IF(AF64="","",ROUND(((AF64-AJ$15)/AJ$16)*AJ$18+AJ$17,1))</f>
        <v>6</v>
      </c>
      <c r="AH64" s="12"/>
    </row>
    <row r="65" customFormat="false" ht="15" hidden="false" customHeight="true" outlineLevel="0" collapsed="false">
      <c r="A65" s="5" t="s">
        <v>143</v>
      </c>
      <c r="B65" s="5" t="s">
        <v>204</v>
      </c>
      <c r="C65" s="6" t="n">
        <f aca="false">IFERROR(ROUND(MAX(0,AVERAGE(F65,H65,J65,L65,N65)),1),"")</f>
        <v>7.4</v>
      </c>
      <c r="D65" s="7" t="n">
        <f aca="false">COUNT(E65,G65,I65,K65,M65)</f>
        <v>4</v>
      </c>
      <c r="E65" s="13" t="n">
        <v>8</v>
      </c>
      <c r="F65" s="6" t="n">
        <f aca="false">IF(E65="","",ROUND(((E65-Q$7)/Q$8)*Q$18+Q$17,1))</f>
        <v>6.2</v>
      </c>
      <c r="G65" s="13"/>
      <c r="H65" s="6" t="str">
        <f aca="false">IF(G65="","",ROUND(((G65-Q$9)/Q$10)*Q$18+Q$17,1))</f>
        <v/>
      </c>
      <c r="I65" s="17" t="n">
        <v>11.9</v>
      </c>
      <c r="J65" s="6" t="n">
        <f aca="false">IF(I65="","",ROUND(((I65-Q$11)/Q$12)*Q$18+Q$17,1))</f>
        <v>6</v>
      </c>
      <c r="K65" s="13" t="n">
        <v>379</v>
      </c>
      <c r="L65" s="6" t="n">
        <f aca="false">IF(K65="","",ROUND(((K65-Q$13)/Q$14)*Q$18+Q$17,1))</f>
        <v>8.5</v>
      </c>
      <c r="M65" s="13" t="n">
        <v>9</v>
      </c>
      <c r="N65" s="6" t="n">
        <f aca="false">IF(M65="","",ROUND(((M65-Q$15)/Q$16)*Q$18+Q$17,1))</f>
        <v>9</v>
      </c>
      <c r="O65" s="12"/>
      <c r="T65" s="5" t="s">
        <v>143</v>
      </c>
      <c r="U65" s="5" t="s">
        <v>204</v>
      </c>
      <c r="V65" s="6" t="n">
        <f aca="false">IFERROR(MIN(ROUND(MAX(0,AVERAGE(Y65,AA65,AC65,AE65,AG65)),1),7.4),"")</f>
        <v>7.4</v>
      </c>
      <c r="W65" s="7" t="n">
        <f aca="false">COUNT(X65,Z65,AB65,AD65,AF65)</f>
        <v>4</v>
      </c>
      <c r="X65" s="13" t="n">
        <v>7</v>
      </c>
      <c r="Y65" s="6" t="n">
        <f aca="false">IF(X65="","",ROUND(((X65-AJ$7)/AJ$8)*AJ$18+AJ$17,1))</f>
        <v>6.2</v>
      </c>
      <c r="Z65" s="13"/>
      <c r="AA65" s="6" t="str">
        <f aca="false">IF(Z65="","",ROUND(((Z65-AJ$9)/AJ$10)*AJ$18+AJ$17,1))</f>
        <v/>
      </c>
      <c r="AB65" s="13" t="n">
        <v>11.9</v>
      </c>
      <c r="AC65" s="6" t="n">
        <f aca="false">IF(AB65="","",ROUND(((AB65-AJ$11)/AJ$12)*AJ$18+AJ$17,1))</f>
        <v>9</v>
      </c>
      <c r="AD65" s="17" t="n">
        <v>379</v>
      </c>
      <c r="AE65" s="6" t="n">
        <f aca="false">IF(AD65="","",ROUND(((AD65-AJ$13)/AJ$14)*AJ$18+AJ$17,1))</f>
        <v>8.4</v>
      </c>
      <c r="AF65" s="13" t="n">
        <v>9</v>
      </c>
      <c r="AG65" s="6" t="n">
        <f aca="false">IF(AF65="","",ROUND(((AF65-AJ$15)/AJ$16)*AJ$18+AJ$17,1))</f>
        <v>9</v>
      </c>
      <c r="AH65" s="12"/>
    </row>
    <row r="66" customFormat="false" ht="15" hidden="false" customHeight="true" outlineLevel="0" collapsed="false">
      <c r="A66" s="5" t="s">
        <v>143</v>
      </c>
      <c r="B66" s="5" t="s">
        <v>184</v>
      </c>
      <c r="C66" s="6" t="n">
        <f aca="false">IFERROR(ROUND(MAX(0,AVERAGE(F66,H66,J66,L66,N66)),1),"")</f>
        <v>6.9</v>
      </c>
      <c r="D66" s="7" t="n">
        <f aca="false">COUNT(E66,G66,I66,K66,M66)</f>
        <v>4</v>
      </c>
      <c r="E66" s="13" t="n">
        <v>1</v>
      </c>
      <c r="F66" s="6" t="n">
        <f aca="false">IF(E66="","",ROUND(((E66-Q$7)/Q$8)*Q$18+Q$17,1))</f>
        <v>-0.1</v>
      </c>
      <c r="G66" s="13" t="n">
        <v>6</v>
      </c>
      <c r="H66" s="6" t="n">
        <f aca="false">IF(G66="","",ROUND(((G66-Q$9)/Q$10)*Q$18+Q$17,1))</f>
        <v>1.1</v>
      </c>
      <c r="I66" s="13"/>
      <c r="J66" s="6" t="str">
        <f aca="false">IF(I66="","",ROUND(((I66-Q$11)/Q$12)*Q$18+Q$17,1))</f>
        <v/>
      </c>
      <c r="K66" s="13" t="n">
        <v>498</v>
      </c>
      <c r="L66" s="6" t="n">
        <f aca="false">IF(K66="","",ROUND(((K66-Q$13)/Q$14)*Q$18+Q$17,1))</f>
        <v>11.7</v>
      </c>
      <c r="M66" s="13" t="n">
        <v>15</v>
      </c>
      <c r="N66" s="6" t="n">
        <f aca="false">IF(M66="","",ROUND(((M66-Q$15)/Q$16)*Q$18+Q$17,1))</f>
        <v>15</v>
      </c>
      <c r="O66" s="12"/>
      <c r="T66" s="5" t="s">
        <v>143</v>
      </c>
      <c r="U66" s="5" t="s">
        <v>184</v>
      </c>
      <c r="V66" s="6" t="n">
        <f aca="false">IFERROR(MIN(ROUND(MAX(0,AVERAGE(Y66,AA66,AC66,AE66,AG66)),1),6.9),"")</f>
        <v>6.9</v>
      </c>
      <c r="W66" s="7" t="n">
        <f aca="false">COUNT(X66,Z66,AB66,AD66,AF66)</f>
        <v>4</v>
      </c>
      <c r="X66" s="13" t="n">
        <v>1</v>
      </c>
      <c r="Y66" s="6" t="n">
        <f aca="false">IF(X66="","",ROUND(((X66-AJ$7)/AJ$8)*AJ$18+AJ$17,1))</f>
        <v>0.7</v>
      </c>
      <c r="Z66" s="13" t="n">
        <v>5.5</v>
      </c>
      <c r="AA66" s="6" t="n">
        <f aca="false">IF(Z66="","",ROUND(((Z66-AJ$9)/AJ$10)*AJ$18+AJ$17,1))</f>
        <v>2.6</v>
      </c>
      <c r="AB66" s="13"/>
      <c r="AC66" s="6" t="str">
        <f aca="false">IF(AB66="","",ROUND(((AB66-AJ$11)/AJ$12)*AJ$18+AJ$17,1))</f>
        <v/>
      </c>
      <c r="AD66" s="17" t="n">
        <v>498</v>
      </c>
      <c r="AE66" s="6" t="n">
        <f aca="false">IF(AD66="","",ROUND(((AD66-AJ$13)/AJ$14)*AJ$18+AJ$17,1))</f>
        <v>11.6</v>
      </c>
      <c r="AF66" s="13" t="n">
        <v>15</v>
      </c>
      <c r="AG66" s="6" t="n">
        <f aca="false">IF(AF66="","",ROUND(((AF66-AJ$15)/AJ$16)*AJ$18+AJ$17,1))</f>
        <v>15</v>
      </c>
      <c r="AH66" s="12"/>
    </row>
    <row r="67" customFormat="false" ht="15" hidden="false" customHeight="true" outlineLevel="0" collapsed="false">
      <c r="A67" s="5" t="s">
        <v>143</v>
      </c>
      <c r="B67" s="5" t="s">
        <v>205</v>
      </c>
      <c r="C67" s="6" t="n">
        <f aca="false">IFERROR(ROUND(MAX(0,AVERAGE(F67,H67,J67,L67,N67)),1),"")</f>
        <v>6.7</v>
      </c>
      <c r="D67" s="7" t="n">
        <f aca="false">COUNT(E67,G67,I67,K67,M67)</f>
        <v>4</v>
      </c>
      <c r="E67" s="13" t="n">
        <v>11</v>
      </c>
      <c r="F67" s="6" t="n">
        <f aca="false">IF(E67="","",ROUND(((E67-Q$7)/Q$8)*Q$18+Q$17,1))</f>
        <v>8.9</v>
      </c>
      <c r="G67" s="13"/>
      <c r="H67" s="6" t="str">
        <f aca="false">IF(G67="","",ROUND(((G67-Q$9)/Q$10)*Q$18+Q$17,1))</f>
        <v/>
      </c>
      <c r="I67" s="17" t="n">
        <v>5.6</v>
      </c>
      <c r="J67" s="6" t="n">
        <f aca="false">IF(I67="","",ROUND(((I67-Q$11)/Q$12)*Q$18+Q$17,1))</f>
        <v>-3.2</v>
      </c>
      <c r="K67" s="13" t="n">
        <v>436</v>
      </c>
      <c r="L67" s="6" t="n">
        <f aca="false">IF(K67="","",ROUND(((K67-Q$13)/Q$14)*Q$18+Q$17,1))</f>
        <v>10</v>
      </c>
      <c r="M67" s="13" t="n">
        <v>11</v>
      </c>
      <c r="N67" s="6" t="n">
        <f aca="false">IF(M67="","",ROUND(((M67-Q$15)/Q$16)*Q$18+Q$17,1))</f>
        <v>11</v>
      </c>
      <c r="O67" s="12"/>
      <c r="T67" s="5" t="s">
        <v>143</v>
      </c>
      <c r="U67" s="5" t="s">
        <v>205</v>
      </c>
      <c r="V67" s="6" t="n">
        <f aca="false">IFERROR(MIN(ROUND(MAX(0,AVERAGE(Y67,AA67,AC67,AE67,AG67)),1),6.6),"")</f>
        <v>6.6</v>
      </c>
      <c r="W67" s="7" t="n">
        <f aca="false">COUNT(X67,Z67,AB67,AD67,AF67)</f>
        <v>4</v>
      </c>
      <c r="X67" s="13" t="n">
        <v>10</v>
      </c>
      <c r="Y67" s="6" t="n">
        <f aca="false">IF(X67="","",ROUND(((X67-AJ$7)/AJ$8)*AJ$18+AJ$17,1))</f>
        <v>8.9</v>
      </c>
      <c r="Z67" s="13"/>
      <c r="AA67" s="6" t="str">
        <f aca="false">IF(Z67="","",ROUND(((Z67-AJ$9)/AJ$10)*AJ$18+AJ$17,1))</f>
        <v/>
      </c>
      <c r="AB67" s="13" t="n">
        <v>5.1</v>
      </c>
      <c r="AC67" s="6" t="n">
        <f aca="false">IF(AB67="","",ROUND(((AB67-AJ$11)/AJ$12)*AJ$18+AJ$17,1))</f>
        <v>-0.9</v>
      </c>
      <c r="AD67" s="17" t="n">
        <v>396.4</v>
      </c>
      <c r="AE67" s="6" t="n">
        <f aca="false">IF(AD67="","",ROUND(((AD67-AJ$13)/AJ$14)*AJ$18+AJ$17,1))</f>
        <v>8.9</v>
      </c>
      <c r="AF67" s="13" t="n">
        <v>10</v>
      </c>
      <c r="AG67" s="6" t="n">
        <f aca="false">IF(AF67="","",ROUND(((AF67-AJ$15)/AJ$16)*AJ$18+AJ$17,1))</f>
        <v>10</v>
      </c>
      <c r="AH67" s="12"/>
    </row>
    <row r="68" customFormat="false" ht="15" hidden="false" customHeight="true" outlineLevel="0" collapsed="false">
      <c r="A68" s="5" t="s">
        <v>143</v>
      </c>
      <c r="B68" s="5" t="s">
        <v>206</v>
      </c>
      <c r="C68" s="6" t="n">
        <f aca="false">IFERROR(ROUND(MAX(0,AVERAGE(F68,H68,J68,L68,N68)),1),"")</f>
        <v>6.3</v>
      </c>
      <c r="D68" s="7" t="n">
        <f aca="false">COUNT(E68,G68,I68,K68,M68)</f>
        <v>4</v>
      </c>
      <c r="E68" s="13" t="n">
        <v>8</v>
      </c>
      <c r="F68" s="6" t="n">
        <f aca="false">IF(E68="","",ROUND(((E68-Q$7)/Q$8)*Q$18+Q$17,1))</f>
        <v>6.2</v>
      </c>
      <c r="G68" s="13"/>
      <c r="H68" s="6" t="str">
        <f aca="false">IF(G68="","",ROUND(((G68-Q$9)/Q$10)*Q$18+Q$17,1))</f>
        <v/>
      </c>
      <c r="I68" s="17" t="n">
        <v>11.4</v>
      </c>
      <c r="J68" s="6" t="n">
        <f aca="false">IF(I68="","",ROUND(((I68-Q$11)/Q$12)*Q$18+Q$17,1))</f>
        <v>5.2</v>
      </c>
      <c r="K68" s="13" t="n">
        <v>243</v>
      </c>
      <c r="L68" s="6" t="n">
        <f aca="false">IF(K68="","",ROUND(((K68-Q$13)/Q$14)*Q$18+Q$17,1))</f>
        <v>4.9</v>
      </c>
      <c r="M68" s="13" t="n">
        <v>9</v>
      </c>
      <c r="N68" s="6" t="n">
        <f aca="false">IF(M68="","",ROUND(((M68-Q$15)/Q$16)*Q$18+Q$17,1))</f>
        <v>9</v>
      </c>
      <c r="O68" s="12"/>
      <c r="T68" s="5" t="s">
        <v>143</v>
      </c>
      <c r="U68" s="5" t="s">
        <v>206</v>
      </c>
      <c r="V68" s="6" t="n">
        <f aca="false">IFERROR(MIN(ROUND(MAX(0,AVERAGE(Y68,AA68,AC68,AE68,AG68)),1),6.3),"")</f>
        <v>6.3</v>
      </c>
      <c r="W68" s="7" t="n">
        <f aca="false">COUNT(X68,Z68,AB68,AD68,AF68)</f>
        <v>4</v>
      </c>
      <c r="X68" s="13" t="n">
        <v>7</v>
      </c>
      <c r="Y68" s="6" t="n">
        <f aca="false">IF(X68="","",ROUND(((X68-AJ$7)/AJ$8)*AJ$18+AJ$17,1))</f>
        <v>6.2</v>
      </c>
      <c r="Z68" s="13"/>
      <c r="AA68" s="6" t="str">
        <f aca="false">IF(Z68="","",ROUND(((Z68-AJ$9)/AJ$10)*AJ$18+AJ$17,1))</f>
        <v/>
      </c>
      <c r="AB68" s="13" t="n">
        <v>11.4</v>
      </c>
      <c r="AC68" s="6" t="n">
        <f aca="false">IF(AB68="","",ROUND(((AB68-AJ$11)/AJ$12)*AJ$18+AJ$17,1))</f>
        <v>8.2</v>
      </c>
      <c r="AD68" s="17" t="n">
        <v>243</v>
      </c>
      <c r="AE68" s="6" t="n">
        <f aca="false">IF(AD68="","",ROUND(((AD68-AJ$13)/AJ$14)*AJ$18+AJ$17,1))</f>
        <v>4.8</v>
      </c>
      <c r="AF68" s="13" t="n">
        <v>9</v>
      </c>
      <c r="AG68" s="6" t="n">
        <f aca="false">IF(AF68="","",ROUND(((AF68-AJ$15)/AJ$16)*AJ$18+AJ$17,1))</f>
        <v>9</v>
      </c>
      <c r="AH68" s="12"/>
    </row>
    <row r="69" customFormat="false" ht="15" hidden="false" customHeight="true" outlineLevel="0" collapsed="false">
      <c r="A69" s="5" t="s">
        <v>143</v>
      </c>
      <c r="B69" s="5" t="s">
        <v>207</v>
      </c>
      <c r="C69" s="6" t="n">
        <f aca="false">IFERROR(ROUND(MAX(0,AVERAGE(F69,H69,J69,L69,N69)),1),"")</f>
        <v>5.7</v>
      </c>
      <c r="D69" s="7" t="n">
        <f aca="false">COUNT(E69,G69,I69,K69,M69)</f>
        <v>4</v>
      </c>
      <c r="E69" s="13" t="n">
        <v>7</v>
      </c>
      <c r="F69" s="6" t="n">
        <f aca="false">IF(E69="","",ROUND(((E69-Q$7)/Q$8)*Q$18+Q$17,1))</f>
        <v>5.3</v>
      </c>
      <c r="G69" s="13"/>
      <c r="H69" s="6" t="str">
        <f aca="false">IF(G69="","",ROUND(((G69-Q$9)/Q$10)*Q$18+Q$17,1))</f>
        <v/>
      </c>
      <c r="I69" s="17" t="n">
        <v>10.8</v>
      </c>
      <c r="J69" s="6" t="n">
        <f aca="false">IF(I69="","",ROUND(((I69-Q$11)/Q$12)*Q$18+Q$17,1))</f>
        <v>4.4</v>
      </c>
      <c r="K69" s="13" t="n">
        <v>320</v>
      </c>
      <c r="L69" s="6" t="n">
        <f aca="false">IF(K69="","",ROUND(((K69-Q$13)/Q$14)*Q$18+Q$17,1))</f>
        <v>7</v>
      </c>
      <c r="M69" s="13" t="n">
        <v>6</v>
      </c>
      <c r="N69" s="6" t="n">
        <f aca="false">IF(M69="","",ROUND(((M69-Q$15)/Q$16)*Q$18+Q$17,1))</f>
        <v>6</v>
      </c>
      <c r="O69" s="12"/>
      <c r="T69" s="5" t="s">
        <v>143</v>
      </c>
      <c r="U69" s="5" t="s">
        <v>207</v>
      </c>
      <c r="V69" s="6" t="n">
        <f aca="false">IFERROR(MIN(ROUND(MAX(0,AVERAGE(Y69,AA69,AC69,AE69,AG69)),1),5.6),"")</f>
        <v>5.6</v>
      </c>
      <c r="W69" s="7" t="n">
        <f aca="false">COUNT(X69,Z69,AB69,AD69,AF69)</f>
        <v>4</v>
      </c>
      <c r="X69" s="13" t="n">
        <v>6</v>
      </c>
      <c r="Y69" s="6" t="n">
        <f aca="false">IF(X69="","",ROUND(((X69-AJ$7)/AJ$8)*AJ$18+AJ$17,1))</f>
        <v>5.2</v>
      </c>
      <c r="Z69" s="13"/>
      <c r="AA69" s="6" t="str">
        <f aca="false">IF(Z69="","",ROUND(((Z69-AJ$9)/AJ$10)*AJ$18+AJ$17,1))</f>
        <v/>
      </c>
      <c r="AB69" s="13" t="n">
        <v>10.8</v>
      </c>
      <c r="AC69" s="6" t="n">
        <f aca="false">IF(AB69="","",ROUND(((AB69-AJ$11)/AJ$12)*AJ$18+AJ$17,1))</f>
        <v>7.4</v>
      </c>
      <c r="AD69" s="17" t="n">
        <v>320</v>
      </c>
      <c r="AE69" s="6" t="n">
        <f aca="false">IF(AD69="","",ROUND(((AD69-AJ$13)/AJ$14)*AJ$18+AJ$17,1))</f>
        <v>6.9</v>
      </c>
      <c r="AF69" s="13" t="n">
        <v>6</v>
      </c>
      <c r="AG69" s="6" t="n">
        <f aca="false">IF(AF69="","",ROUND(((AF69-AJ$15)/AJ$16)*AJ$18+AJ$17,1))</f>
        <v>6</v>
      </c>
      <c r="AH69" s="12"/>
    </row>
    <row r="70" customFormat="false" ht="15" hidden="false" customHeight="true" outlineLevel="0" collapsed="false">
      <c r="A70" s="5" t="s">
        <v>143</v>
      </c>
      <c r="B70" s="5" t="s">
        <v>208</v>
      </c>
      <c r="C70" s="6" t="n">
        <f aca="false">IFERROR(ROUND(MAX(0,AVERAGE(F70,H70,J70,L70,N70)),1),"")</f>
        <v>5.4</v>
      </c>
      <c r="D70" s="7" t="n">
        <f aca="false">COUNT(E70,G70,I70,K70,M70)</f>
        <v>3</v>
      </c>
      <c r="E70" s="13" t="n">
        <v>7</v>
      </c>
      <c r="F70" s="6" t="n">
        <f aca="false">IF(E70="","",ROUND(((E70-Q$7)/Q$8)*Q$18+Q$17,1))</f>
        <v>5.3</v>
      </c>
      <c r="G70" s="13"/>
      <c r="H70" s="6" t="str">
        <f aca="false">IF(G70="","",ROUND(((G70-Q$9)/Q$10)*Q$18+Q$17,1))</f>
        <v/>
      </c>
      <c r="I70" s="13"/>
      <c r="J70" s="6" t="str">
        <f aca="false">IF(I70="","",ROUND(((I70-Q$11)/Q$12)*Q$18+Q$17,1))</f>
        <v/>
      </c>
      <c r="K70" s="13" t="n">
        <v>275</v>
      </c>
      <c r="L70" s="6" t="n">
        <f aca="false">IF(K70="","",ROUND(((K70-Q$13)/Q$14)*Q$18+Q$17,1))</f>
        <v>5.8</v>
      </c>
      <c r="M70" s="13" t="n">
        <v>5</v>
      </c>
      <c r="N70" s="6" t="n">
        <f aca="false">IF(M70="","",ROUND(((M70-Q$15)/Q$16)*Q$18+Q$17,1))</f>
        <v>5</v>
      </c>
      <c r="O70" s="12"/>
      <c r="T70" s="5" t="s">
        <v>143</v>
      </c>
      <c r="U70" s="5" t="s">
        <v>208</v>
      </c>
      <c r="V70" s="6" t="n">
        <f aca="false">IFERROR(MIN(ROUND(MAX(0,AVERAGE(Y70,AA70,AC70,AE70,AG70)),1),5.3),"")</f>
        <v>5.3</v>
      </c>
      <c r="W70" s="7" t="n">
        <f aca="false">COUNT(X70,Z70,AB70,AD70,AF70)</f>
        <v>3</v>
      </c>
      <c r="X70" s="13" t="n">
        <v>6</v>
      </c>
      <c r="Y70" s="6" t="n">
        <f aca="false">IF(X70="","",ROUND(((X70-AJ$7)/AJ$8)*AJ$18+AJ$17,1))</f>
        <v>5.2</v>
      </c>
      <c r="Z70" s="13"/>
      <c r="AA70" s="6" t="str">
        <f aca="false">IF(Z70="","",ROUND(((Z70-AJ$9)/AJ$10)*AJ$18+AJ$17,1))</f>
        <v/>
      </c>
      <c r="AB70" s="13" t="n">
        <v>9.3</v>
      </c>
      <c r="AC70" s="6" t="n">
        <f aca="false">IF(AB70="","",ROUND(((AB70-AJ$11)/AJ$12)*AJ$18+AJ$17,1))</f>
        <v>5.2</v>
      </c>
      <c r="AD70" s="13"/>
      <c r="AE70" s="6" t="str">
        <f aca="false">IF(AD70="","",ROUND(((AD70-AJ$13)/AJ$14)*AJ$18+AJ$17,1))</f>
        <v/>
      </c>
      <c r="AF70" s="13" t="n">
        <v>6</v>
      </c>
      <c r="AG70" s="6" t="n">
        <f aca="false">IF(AF70="","",ROUND(((AF70-AJ$15)/AJ$16)*AJ$18+AJ$17,1))</f>
        <v>6</v>
      </c>
      <c r="AH70" s="12"/>
    </row>
    <row r="71" customFormat="false" ht="15" hidden="false" customHeight="true" outlineLevel="0" collapsed="false">
      <c r="A71" s="5" t="s">
        <v>143</v>
      </c>
      <c r="B71" s="5" t="s">
        <v>209</v>
      </c>
      <c r="C71" s="6" t="n">
        <f aca="false">IFERROR(ROUND(MAX(0,AVERAGE(F71,H71,J71,L71,N71)),1),"")</f>
        <v>4.6</v>
      </c>
      <c r="D71" s="7" t="n">
        <f aca="false">COUNT(E71,G71,I71,K71,M71)</f>
        <v>4</v>
      </c>
      <c r="E71" s="13" t="n">
        <v>8</v>
      </c>
      <c r="F71" s="6" t="n">
        <f aca="false">IF(E71="","",ROUND(((E71-Q$7)/Q$8)*Q$18+Q$17,1))</f>
        <v>6.2</v>
      </c>
      <c r="G71" s="13"/>
      <c r="H71" s="6" t="str">
        <f aca="false">IF(G71="","",ROUND(((G71-Q$9)/Q$10)*Q$18+Q$17,1))</f>
        <v/>
      </c>
      <c r="I71" s="17" t="n">
        <v>11.6</v>
      </c>
      <c r="J71" s="6" t="n">
        <f aca="false">IF(I71="","",ROUND(((I71-Q$11)/Q$12)*Q$18+Q$17,1))</f>
        <v>5.5</v>
      </c>
      <c r="K71" s="13" t="n">
        <v>239</v>
      </c>
      <c r="L71" s="6" t="n">
        <f aca="false">IF(K71="","",ROUND(((K71-Q$13)/Q$14)*Q$18+Q$17,1))</f>
        <v>4.8</v>
      </c>
      <c r="M71" s="13" t="n">
        <v>2</v>
      </c>
      <c r="N71" s="6" t="n">
        <f aca="false">IF(M71="","",ROUND(((M71-Q$15)/Q$16)*Q$18+Q$17,1))</f>
        <v>2</v>
      </c>
      <c r="O71" s="12"/>
      <c r="T71" s="5" t="s">
        <v>143</v>
      </c>
      <c r="U71" s="5" t="s">
        <v>209</v>
      </c>
      <c r="V71" s="6" t="n">
        <f aca="false">IFERROR(MIN(ROUND(MAX(0,AVERAGE(Y71,AA71,AC71,AE71,AG71)),1),4.6),"")</f>
        <v>4.6</v>
      </c>
      <c r="W71" s="7" t="n">
        <f aca="false">COUNT(X71,Z71,AB71,AD71,AF71)</f>
        <v>4</v>
      </c>
      <c r="X71" s="13" t="n">
        <v>7</v>
      </c>
      <c r="Y71" s="6" t="n">
        <f aca="false">IF(X71="","",ROUND(((X71-AJ$7)/AJ$8)*AJ$18+AJ$17,1))</f>
        <v>6.2</v>
      </c>
      <c r="Z71" s="13"/>
      <c r="AA71" s="6" t="str">
        <f aca="false">IF(Z71="","",ROUND(((Z71-AJ$9)/AJ$10)*AJ$18+AJ$17,1))</f>
        <v/>
      </c>
      <c r="AB71" s="13" t="n">
        <v>11.6</v>
      </c>
      <c r="AC71" s="6" t="n">
        <f aca="false">IF(AB71="","",ROUND(((AB71-AJ$11)/AJ$12)*AJ$18+AJ$17,1))</f>
        <v>8.5</v>
      </c>
      <c r="AD71" s="17" t="n">
        <v>239</v>
      </c>
      <c r="AE71" s="6" t="n">
        <f aca="false">IF(AD71="","",ROUND(((AD71-AJ$13)/AJ$14)*AJ$18+AJ$17,1))</f>
        <v>4.7</v>
      </c>
      <c r="AF71" s="13" t="n">
        <v>2</v>
      </c>
      <c r="AG71" s="6" t="n">
        <f aca="false">IF(AF71="","",ROUND(((AF71-AJ$15)/AJ$16)*AJ$18+AJ$17,1))</f>
        <v>2</v>
      </c>
      <c r="AH71" s="12"/>
    </row>
    <row r="72" customFormat="false" ht="15" hidden="false" customHeight="true" outlineLevel="0" collapsed="false">
      <c r="A72" s="5" t="s">
        <v>143</v>
      </c>
      <c r="B72" s="5" t="s">
        <v>210</v>
      </c>
      <c r="C72" s="6" t="n">
        <f aca="false">IFERROR(ROUND(MAX(0,AVERAGE(F72,H72,J72,L72,N72)),1),"")</f>
        <v>4.4</v>
      </c>
      <c r="D72" s="7" t="n">
        <f aca="false">COUNT(E72,G72,I72,K72,M72)</f>
        <v>3</v>
      </c>
      <c r="E72" s="13" t="n">
        <v>7</v>
      </c>
      <c r="F72" s="6" t="n">
        <f aca="false">IF(E72="","",ROUND(((E72-Q$7)/Q$8)*Q$18+Q$17,1))</f>
        <v>5.3</v>
      </c>
      <c r="G72" s="13"/>
      <c r="H72" s="6" t="str">
        <f aca="false">IF(G72="","",ROUND(((G72-Q$9)/Q$10)*Q$18+Q$17,1))</f>
        <v/>
      </c>
      <c r="I72" s="13"/>
      <c r="J72" s="6" t="str">
        <f aca="false">IF(I72="","",ROUND(((I72-Q$11)/Q$12)*Q$18+Q$17,1))</f>
        <v/>
      </c>
      <c r="K72" s="13" t="n">
        <v>205</v>
      </c>
      <c r="L72" s="6" t="n">
        <f aca="false">IF(K72="","",ROUND(((K72-Q$13)/Q$14)*Q$18+Q$17,1))</f>
        <v>3.9</v>
      </c>
      <c r="M72" s="13" t="n">
        <v>4</v>
      </c>
      <c r="N72" s="6" t="n">
        <f aca="false">IF(M72="","",ROUND(((M72-Q$15)/Q$16)*Q$18+Q$17,1))</f>
        <v>4</v>
      </c>
      <c r="O72" s="12"/>
      <c r="T72" s="5" t="s">
        <v>143</v>
      </c>
      <c r="U72" s="5" t="s">
        <v>210</v>
      </c>
      <c r="V72" s="6" t="n">
        <f aca="false">IFERROR(MIN(ROUND(MAX(0,AVERAGE(Y72,AA72,AC72,AE72,AG72)),1),4.4),"")</f>
        <v>4.4</v>
      </c>
      <c r="W72" s="7" t="n">
        <f aca="false">COUNT(X72,Z72,AB72,AD72,AF72)</f>
        <v>3</v>
      </c>
      <c r="X72" s="13" t="n">
        <v>6</v>
      </c>
      <c r="Y72" s="6" t="n">
        <f aca="false">IF(X72="","",ROUND(((X72-AJ$7)/AJ$8)*AJ$18+AJ$17,1))</f>
        <v>5.2</v>
      </c>
      <c r="Z72" s="13"/>
      <c r="AA72" s="6" t="str">
        <f aca="false">IF(Z72="","",ROUND(((Z72-AJ$9)/AJ$10)*AJ$18+AJ$17,1))</f>
        <v/>
      </c>
      <c r="AB72" s="13" t="n">
        <v>8</v>
      </c>
      <c r="AC72" s="6" t="n">
        <f aca="false">IF(AB72="","",ROUND(((AB72-AJ$11)/AJ$12)*AJ$18+AJ$17,1))</f>
        <v>3.3</v>
      </c>
      <c r="AD72" s="13"/>
      <c r="AE72" s="6" t="str">
        <f aca="false">IF(AD72="","",ROUND(((AD72-AJ$13)/AJ$14)*AJ$18+AJ$17,1))</f>
        <v/>
      </c>
      <c r="AF72" s="13" t="n">
        <v>5</v>
      </c>
      <c r="AG72" s="6" t="n">
        <f aca="false">IF(AF72="","",ROUND(((AF72-AJ$15)/AJ$16)*AJ$18+AJ$17,1))</f>
        <v>5</v>
      </c>
      <c r="AH72" s="12"/>
    </row>
    <row r="73" customFormat="false" ht="15" hidden="false" customHeight="true" outlineLevel="0" collapsed="false">
      <c r="A73" s="5" t="s">
        <v>143</v>
      </c>
      <c r="B73" s="5" t="s">
        <v>211</v>
      </c>
      <c r="C73" s="6" t="n">
        <f aca="false">IFERROR(ROUND(MAX(0,AVERAGE(F73,H73,J73,L73,N73)),1),"")</f>
        <v>4.3</v>
      </c>
      <c r="D73" s="7" t="n">
        <f aca="false">COUNT(E73,G73,I73,K73,M73)</f>
        <v>4</v>
      </c>
      <c r="E73" s="13" t="n">
        <v>7</v>
      </c>
      <c r="F73" s="6" t="n">
        <f aca="false">IF(E73="","",ROUND(((E73-Q$7)/Q$8)*Q$18+Q$17,1))</f>
        <v>5.3</v>
      </c>
      <c r="G73" s="13"/>
      <c r="H73" s="6" t="str">
        <f aca="false">IF(G73="","",ROUND(((G73-Q$9)/Q$10)*Q$18+Q$17,1))</f>
        <v/>
      </c>
      <c r="I73" s="17" t="n">
        <v>7.5</v>
      </c>
      <c r="J73" s="6" t="n">
        <f aca="false">IF(I73="","",ROUND(((I73-Q$11)/Q$12)*Q$18+Q$17,1))</f>
        <v>-0.4</v>
      </c>
      <c r="K73" s="13" t="n">
        <v>332</v>
      </c>
      <c r="L73" s="6" t="n">
        <f aca="false">IF(K73="","",ROUND(((K73-Q$13)/Q$14)*Q$18+Q$17,1))</f>
        <v>7.3</v>
      </c>
      <c r="M73" s="13" t="n">
        <v>5</v>
      </c>
      <c r="N73" s="6" t="n">
        <f aca="false">IF(M73="","",ROUND(((M73-Q$15)/Q$16)*Q$18+Q$17,1))</f>
        <v>5</v>
      </c>
      <c r="O73" s="12"/>
      <c r="T73" s="5" t="s">
        <v>143</v>
      </c>
      <c r="U73" s="5" t="s">
        <v>211</v>
      </c>
      <c r="V73" s="6" t="n">
        <f aca="false">IFERROR(MIN(ROUND(MAX(0,AVERAGE(Y73,AA73,AC73,AE73,AG73)),1),4.2),"")</f>
        <v>4.2</v>
      </c>
      <c r="W73" s="7" t="n">
        <f aca="false">COUNT(X73,Z73,AB73,AD73,AF73)</f>
        <v>4</v>
      </c>
      <c r="X73" s="13" t="n">
        <v>6</v>
      </c>
      <c r="Y73" s="6" t="n">
        <f aca="false">IF(X73="","",ROUND(((X73-AJ$7)/AJ$8)*AJ$18+AJ$17,1))</f>
        <v>5.2</v>
      </c>
      <c r="Z73" s="13"/>
      <c r="AA73" s="6" t="str">
        <f aca="false">IF(Z73="","",ROUND(((Z73-AJ$9)/AJ$10)*AJ$18+AJ$17,1))</f>
        <v/>
      </c>
      <c r="AB73" s="13" t="n">
        <v>7.5</v>
      </c>
      <c r="AC73" s="6" t="n">
        <f aca="false">IF(AB73="","",ROUND(((AB73-AJ$11)/AJ$12)*AJ$18+AJ$17,1))</f>
        <v>2.6</v>
      </c>
      <c r="AD73" s="17" t="n">
        <v>332</v>
      </c>
      <c r="AE73" s="6" t="n">
        <f aca="false">IF(AD73="","",ROUND(((AD73-AJ$13)/AJ$14)*AJ$18+AJ$17,1))</f>
        <v>7.2</v>
      </c>
      <c r="AF73" s="13" t="n">
        <v>5</v>
      </c>
      <c r="AG73" s="6" t="n">
        <f aca="false">IF(AF73="","",ROUND(((AF73-AJ$15)/AJ$16)*AJ$18+AJ$17,1))</f>
        <v>5</v>
      </c>
      <c r="AH73" s="12"/>
    </row>
    <row r="74" customFormat="false" ht="15" hidden="false" customHeight="true" outlineLevel="0" collapsed="false">
      <c r="A74" s="5" t="s">
        <v>143</v>
      </c>
      <c r="B74" s="5" t="s">
        <v>212</v>
      </c>
      <c r="C74" s="6" t="n">
        <f aca="false">IFERROR(ROUND(MAX(0,AVERAGE(F74,H74,J74,L74,N74)),1),"")</f>
        <v>4.3</v>
      </c>
      <c r="D74" s="7" t="n">
        <f aca="false">COUNT(E74,G74,I74,K74,M74)</f>
        <v>3</v>
      </c>
      <c r="E74" s="13" t="n">
        <v>6</v>
      </c>
      <c r="F74" s="6" t="n">
        <f aca="false">IF(E74="","",ROUND(((E74-Q$7)/Q$8)*Q$18+Q$17,1))</f>
        <v>4.4</v>
      </c>
      <c r="G74" s="13"/>
      <c r="H74" s="6" t="str">
        <f aca="false">IF(G74="","",ROUND(((G74-Q$9)/Q$10)*Q$18+Q$17,1))</f>
        <v/>
      </c>
      <c r="I74" s="13"/>
      <c r="J74" s="6" t="str">
        <f aca="false">IF(I74="","",ROUND(((I74-Q$11)/Q$12)*Q$18+Q$17,1))</f>
        <v/>
      </c>
      <c r="K74" s="13" t="n">
        <v>146</v>
      </c>
      <c r="L74" s="6" t="n">
        <f aca="false">IF(K74="","",ROUND(((K74-Q$13)/Q$14)*Q$18+Q$17,1))</f>
        <v>2.4</v>
      </c>
      <c r="M74" s="13" t="n">
        <v>6</v>
      </c>
      <c r="N74" s="6" t="n">
        <f aca="false">IF(M74="","",ROUND(((M74-Q$15)/Q$16)*Q$18+Q$17,1))</f>
        <v>6</v>
      </c>
      <c r="O74" s="12"/>
      <c r="T74" s="5" t="s">
        <v>143</v>
      </c>
      <c r="U74" s="5" t="s">
        <v>212</v>
      </c>
      <c r="V74" s="6" t="n">
        <f aca="false">IFERROR(MIN(ROUND(MAX(0,AVERAGE(Y74,AA74,AC74,AE74,AG74)),1),4.2),"")</f>
        <v>4.2</v>
      </c>
      <c r="W74" s="7" t="n">
        <f aca="false">COUNT(X74,Z74,AB74,AD74,AF74)</f>
        <v>3</v>
      </c>
      <c r="X74" s="13" t="n">
        <v>5</v>
      </c>
      <c r="Y74" s="6" t="n">
        <f aca="false">IF(X74="","",ROUND(((X74-AJ$7)/AJ$8)*AJ$18+AJ$17,1))</f>
        <v>4.3</v>
      </c>
      <c r="Z74" s="13"/>
      <c r="AA74" s="6" t="str">
        <f aca="false">IF(Z74="","",ROUND(((Z74-AJ$9)/AJ$10)*AJ$18+AJ$17,1))</f>
        <v/>
      </c>
      <c r="AB74" s="13"/>
      <c r="AC74" s="6" t="str">
        <f aca="false">IF(AB74="","",ROUND(((AB74-AJ$11)/AJ$12)*AJ$18+AJ$17,1))</f>
        <v/>
      </c>
      <c r="AD74" s="17" t="n">
        <v>146</v>
      </c>
      <c r="AE74" s="6" t="n">
        <f aca="false">IF(AD74="","",ROUND(((AD74-AJ$13)/AJ$14)*AJ$18+AJ$17,1))</f>
        <v>2.3</v>
      </c>
      <c r="AF74" s="13" t="n">
        <v>6</v>
      </c>
      <c r="AG74" s="6" t="n">
        <f aca="false">IF(AF74="","",ROUND(((AF74-AJ$15)/AJ$16)*AJ$18+AJ$17,1))</f>
        <v>6</v>
      </c>
      <c r="AH74" s="12"/>
    </row>
    <row r="75" customFormat="false" ht="15" hidden="false" customHeight="true" outlineLevel="0" collapsed="false">
      <c r="A75" s="5" t="s">
        <v>143</v>
      </c>
      <c r="B75" s="5" t="s">
        <v>213</v>
      </c>
      <c r="C75" s="6" t="n">
        <f aca="false">IFERROR(ROUND(MAX(0,AVERAGE(F75,H75,J75,L75,N75)),1),"")</f>
        <v>4.1</v>
      </c>
      <c r="D75" s="7" t="n">
        <f aca="false">COUNT(E75,G75,I75,K75,M75)</f>
        <v>4</v>
      </c>
      <c r="E75" s="13" t="n">
        <v>7</v>
      </c>
      <c r="F75" s="6" t="n">
        <f aca="false">IF(E75="","",ROUND(((E75-Q$7)/Q$8)*Q$18+Q$17,1))</f>
        <v>5.3</v>
      </c>
      <c r="G75" s="13"/>
      <c r="H75" s="6" t="str">
        <f aca="false">IF(G75="","",ROUND(((G75-Q$9)/Q$10)*Q$18+Q$17,1))</f>
        <v/>
      </c>
      <c r="I75" s="17" t="n">
        <v>7</v>
      </c>
      <c r="J75" s="6" t="n">
        <f aca="false">IF(I75="","",ROUND(((I75-Q$11)/Q$12)*Q$18+Q$17,1))</f>
        <v>-1.2</v>
      </c>
      <c r="K75" s="13" t="n">
        <v>289</v>
      </c>
      <c r="L75" s="6" t="n">
        <f aca="false">IF(K75="","",ROUND(((K75-Q$13)/Q$14)*Q$18+Q$17,1))</f>
        <v>6.2</v>
      </c>
      <c r="M75" s="13" t="n">
        <v>6</v>
      </c>
      <c r="N75" s="6" t="n">
        <f aca="false">IF(M75="","",ROUND(((M75-Q$15)/Q$16)*Q$18+Q$17,1))</f>
        <v>6</v>
      </c>
      <c r="O75" s="12"/>
      <c r="T75" s="5" t="s">
        <v>143</v>
      </c>
      <c r="U75" s="5" t="s">
        <v>213</v>
      </c>
      <c r="V75" s="6" t="n">
        <f aca="false">IFERROR(MIN(ROUND(MAX(0,AVERAGE(Y75,AA75,AC75,AE75,AG75)),1),4),"")</f>
        <v>3.9</v>
      </c>
      <c r="W75" s="7" t="n">
        <f aca="false">COUNT(X75,Z75,AB75,AD75,AF75)</f>
        <v>4</v>
      </c>
      <c r="X75" s="13" t="n">
        <v>6</v>
      </c>
      <c r="Y75" s="6" t="n">
        <f aca="false">IF(X75="","",ROUND(((X75-AJ$7)/AJ$8)*AJ$18+AJ$17,1))</f>
        <v>5.2</v>
      </c>
      <c r="Z75" s="13"/>
      <c r="AA75" s="6" t="str">
        <f aca="false">IF(Z75="","",ROUND(((Z75-AJ$9)/AJ$10)*AJ$18+AJ$17,1))</f>
        <v/>
      </c>
      <c r="AB75" s="13" t="n">
        <v>6</v>
      </c>
      <c r="AC75" s="6" t="n">
        <f aca="false">IF(AB75="","",ROUND(((AB75-AJ$11)/AJ$12)*AJ$18+AJ$17,1))</f>
        <v>0.4</v>
      </c>
      <c r="AD75" s="17" t="n">
        <v>247.7</v>
      </c>
      <c r="AE75" s="6" t="n">
        <f aca="false">IF(AD75="","",ROUND(((AD75-AJ$13)/AJ$14)*AJ$18+AJ$17,1))</f>
        <v>5</v>
      </c>
      <c r="AF75" s="13" t="n">
        <v>5</v>
      </c>
      <c r="AG75" s="6" t="n">
        <f aca="false">IF(AF75="","",ROUND(((AF75-AJ$15)/AJ$16)*AJ$18+AJ$17,1))</f>
        <v>5</v>
      </c>
      <c r="AH75" s="12"/>
    </row>
    <row r="76" customFormat="false" ht="15" hidden="false" customHeight="true" outlineLevel="0" collapsed="false">
      <c r="A76" s="5" t="s">
        <v>143</v>
      </c>
      <c r="B76" s="5" t="s">
        <v>214</v>
      </c>
      <c r="C76" s="6" t="n">
        <f aca="false">IFERROR(ROUND(MAX(0,AVERAGE(F76,H76,J76,L76,N76)),1),"")</f>
        <v>3.7</v>
      </c>
      <c r="D76" s="7" t="n">
        <f aca="false">COUNT(E76,G76,I76,K76,M76)</f>
        <v>4</v>
      </c>
      <c r="E76" s="13" t="n">
        <v>9</v>
      </c>
      <c r="F76" s="6" t="n">
        <f aca="false">IF(E76="","",ROUND(((E76-Q$7)/Q$8)*Q$18+Q$17,1))</f>
        <v>7.1</v>
      </c>
      <c r="G76" s="13"/>
      <c r="H76" s="6" t="str">
        <f aca="false">IF(G76="","",ROUND(((G76-Q$9)/Q$10)*Q$18+Q$17,1))</f>
        <v/>
      </c>
      <c r="I76" s="17" t="n">
        <v>8.7</v>
      </c>
      <c r="J76" s="6" t="n">
        <f aca="false">IF(I76="","",ROUND(((I76-Q$11)/Q$12)*Q$18+Q$17,1))</f>
        <v>1.3</v>
      </c>
      <c r="K76" s="13" t="n">
        <v>184</v>
      </c>
      <c r="L76" s="6" t="n">
        <f aca="false">IF(K76="","",ROUND(((K76-Q$13)/Q$14)*Q$18+Q$17,1))</f>
        <v>3.4</v>
      </c>
      <c r="M76" s="13" t="n">
        <v>3</v>
      </c>
      <c r="N76" s="6" t="n">
        <f aca="false">IF(M76="","",ROUND(((M76-Q$15)/Q$16)*Q$18+Q$17,1))</f>
        <v>3</v>
      </c>
      <c r="O76" s="12"/>
      <c r="T76" s="5" t="s">
        <v>143</v>
      </c>
      <c r="U76" s="5" t="s">
        <v>214</v>
      </c>
      <c r="V76" s="6" t="n">
        <f aca="false">IFERROR(MIN(ROUND(MAX(0,AVERAGE(Y76,AA76,AC76,AE76,AG76)),1),3.7),"")</f>
        <v>3.7</v>
      </c>
      <c r="W76" s="7" t="n">
        <f aca="false">COUNT(X76,Z76,AB76,AD76,AF76)</f>
        <v>4</v>
      </c>
      <c r="X76" s="13" t="n">
        <v>8</v>
      </c>
      <c r="Y76" s="6" t="n">
        <f aca="false">IF(X76="","",ROUND(((X76-AJ$7)/AJ$8)*AJ$18+AJ$17,1))</f>
        <v>7.1</v>
      </c>
      <c r="Z76" s="13"/>
      <c r="AA76" s="6" t="str">
        <f aca="false">IF(Z76="","",ROUND(((Z76-AJ$9)/AJ$10)*AJ$18+AJ$17,1))</f>
        <v/>
      </c>
      <c r="AB76" s="13" t="n">
        <v>8.7</v>
      </c>
      <c r="AC76" s="6" t="n">
        <f aca="false">IF(AB76="","",ROUND(((AB76-AJ$11)/AJ$12)*AJ$18+AJ$17,1))</f>
        <v>4.3</v>
      </c>
      <c r="AD76" s="17" t="n">
        <v>184</v>
      </c>
      <c r="AE76" s="6" t="n">
        <f aca="false">IF(AD76="","",ROUND(((AD76-AJ$13)/AJ$14)*AJ$18+AJ$17,1))</f>
        <v>3.3</v>
      </c>
      <c r="AF76" s="13" t="n">
        <v>3</v>
      </c>
      <c r="AG76" s="6" t="n">
        <f aca="false">IF(AF76="","",ROUND(((AF76-AJ$15)/AJ$16)*AJ$18+AJ$17,1))</f>
        <v>3</v>
      </c>
      <c r="AH76" s="12"/>
    </row>
    <row r="77" customFormat="false" ht="15" hidden="false" customHeight="true" outlineLevel="0" collapsed="false">
      <c r="A77" s="5" t="s">
        <v>143</v>
      </c>
      <c r="B77" s="5" t="s">
        <v>215</v>
      </c>
      <c r="C77" s="6" t="n">
        <f aca="false">IFERROR(ROUND(MAX(0,AVERAGE(F77,H77,J77,L77,N77)),1),"")</f>
        <v>3.3</v>
      </c>
      <c r="D77" s="7" t="n">
        <f aca="false">COUNT(E77,G77,I77,K77,M77)</f>
        <v>4</v>
      </c>
      <c r="E77" s="13" t="n">
        <v>7</v>
      </c>
      <c r="F77" s="6" t="n">
        <f aca="false">IF(E77="","",ROUND(((E77-Q$7)/Q$8)*Q$18+Q$17,1))</f>
        <v>5.3</v>
      </c>
      <c r="G77" s="13"/>
      <c r="H77" s="6" t="str">
        <f aca="false">IF(G77="","",ROUND(((G77-Q$9)/Q$10)*Q$18+Q$17,1))</f>
        <v/>
      </c>
      <c r="I77" s="17" t="n">
        <v>7.2</v>
      </c>
      <c r="J77" s="6" t="n">
        <f aca="false">IF(I77="","",ROUND(((I77-Q$11)/Q$12)*Q$18+Q$17,1))</f>
        <v>-0.9</v>
      </c>
      <c r="K77" s="13" t="n">
        <v>241</v>
      </c>
      <c r="L77" s="6" t="n">
        <f aca="false">IF(K77="","",ROUND(((K77-Q$13)/Q$14)*Q$18+Q$17,1))</f>
        <v>4.9</v>
      </c>
      <c r="M77" s="13" t="n">
        <v>4</v>
      </c>
      <c r="N77" s="6" t="n">
        <f aca="false">IF(M77="","",ROUND(((M77-Q$15)/Q$16)*Q$18+Q$17,1))</f>
        <v>4</v>
      </c>
      <c r="O77" s="12"/>
      <c r="T77" s="5" t="s">
        <v>143</v>
      </c>
      <c r="U77" s="5" t="s">
        <v>215</v>
      </c>
      <c r="V77" s="6" t="n">
        <f aca="false">IFERROR(MIN(ROUND(MAX(0,AVERAGE(Y77,AA77,AC77,AE77,AG77)),1),3.3),"")</f>
        <v>3.3</v>
      </c>
      <c r="W77" s="7" t="n">
        <f aca="false">COUNT(X77,Z77,AB77,AD77,AF77)</f>
        <v>4</v>
      </c>
      <c r="X77" s="13" t="n">
        <v>6</v>
      </c>
      <c r="Y77" s="6" t="n">
        <f aca="false">IF(X77="","",ROUND(((X77-AJ$7)/AJ$8)*AJ$18+AJ$17,1))</f>
        <v>5.2</v>
      </c>
      <c r="Z77" s="13"/>
      <c r="AA77" s="6" t="str">
        <f aca="false">IF(Z77="","",ROUND(((Z77-AJ$9)/AJ$10)*AJ$18+AJ$17,1))</f>
        <v/>
      </c>
      <c r="AB77" s="13" t="n">
        <v>7.2</v>
      </c>
      <c r="AC77" s="6" t="n">
        <f aca="false">IF(AB77="","",ROUND(((AB77-AJ$11)/AJ$12)*AJ$18+AJ$17,1))</f>
        <v>2.1</v>
      </c>
      <c r="AD77" s="17" t="n">
        <v>241</v>
      </c>
      <c r="AE77" s="6" t="n">
        <f aca="false">IF(AD77="","",ROUND(((AD77-AJ$13)/AJ$14)*AJ$18+AJ$17,1))</f>
        <v>4.8</v>
      </c>
      <c r="AF77" s="13" t="n">
        <v>4</v>
      </c>
      <c r="AG77" s="6" t="n">
        <f aca="false">IF(AF77="","",ROUND(((AF77-AJ$15)/AJ$16)*AJ$18+AJ$17,1))</f>
        <v>4</v>
      </c>
      <c r="AH77" s="12"/>
    </row>
    <row r="78" customFormat="false" ht="15" hidden="false" customHeight="true" outlineLevel="0" collapsed="false">
      <c r="A78" s="5" t="s">
        <v>143</v>
      </c>
      <c r="B78" s="5" t="s">
        <v>216</v>
      </c>
      <c r="C78" s="6" t="n">
        <f aca="false">IFERROR(ROUND(MAX(0,AVERAGE(F78,H78,J78,L78,N78)),1),"")</f>
        <v>3.1</v>
      </c>
      <c r="D78" s="7" t="n">
        <f aca="false">COUNT(E78,G78,I78,K78,M78)</f>
        <v>3</v>
      </c>
      <c r="E78" s="13" t="n">
        <v>6</v>
      </c>
      <c r="F78" s="6" t="n">
        <f aca="false">IF(E78="","",ROUND(((E78-Q$7)/Q$8)*Q$18+Q$17,1))</f>
        <v>4.4</v>
      </c>
      <c r="G78" s="13"/>
      <c r="H78" s="6" t="str">
        <f aca="false">IF(G78="","",ROUND(((G78-Q$9)/Q$10)*Q$18+Q$17,1))</f>
        <v/>
      </c>
      <c r="I78" s="13"/>
      <c r="J78" s="6" t="str">
        <f aca="false">IF(I78="","",ROUND(((I78-Q$11)/Q$12)*Q$18+Q$17,1))</f>
        <v/>
      </c>
      <c r="K78" s="13" t="n">
        <v>167</v>
      </c>
      <c r="L78" s="6" t="n">
        <f aca="false">IF(K78="","",ROUND(((K78-Q$13)/Q$14)*Q$18+Q$17,1))</f>
        <v>2.9</v>
      </c>
      <c r="M78" s="13" t="n">
        <v>2</v>
      </c>
      <c r="N78" s="6" t="n">
        <f aca="false">IF(M78="","",ROUND(((M78-Q$15)/Q$16)*Q$18+Q$17,1))</f>
        <v>2</v>
      </c>
      <c r="O78" s="12"/>
      <c r="T78" s="5" t="s">
        <v>143</v>
      </c>
      <c r="U78" s="5" t="s">
        <v>216</v>
      </c>
      <c r="V78" s="6" t="n">
        <f aca="false">IFERROR(MIN(ROUND(MAX(0,AVERAGE(Y78,AA78,AC78,AE78,AG78)),1),3.1),"")</f>
        <v>3</v>
      </c>
      <c r="W78" s="7" t="n">
        <f aca="false">COUNT(X78,Z78,AB78,AD78,AF78)</f>
        <v>3</v>
      </c>
      <c r="X78" s="13" t="n">
        <v>5</v>
      </c>
      <c r="Y78" s="6" t="n">
        <f aca="false">IF(X78="","",ROUND(((X78-AJ$7)/AJ$8)*AJ$18+AJ$17,1))</f>
        <v>4.3</v>
      </c>
      <c r="Z78" s="13"/>
      <c r="AA78" s="6" t="str">
        <f aca="false">IF(Z78="","",ROUND(((Z78-AJ$9)/AJ$10)*AJ$18+AJ$17,1))</f>
        <v/>
      </c>
      <c r="AB78" s="13"/>
      <c r="AC78" s="6" t="str">
        <f aca="false">IF(AB78="","",ROUND(((AB78-AJ$11)/AJ$12)*AJ$18+AJ$17,1))</f>
        <v/>
      </c>
      <c r="AD78" s="17" t="n">
        <v>167</v>
      </c>
      <c r="AE78" s="6" t="n">
        <f aca="false">IF(AD78="","",ROUND(((AD78-AJ$13)/AJ$14)*AJ$18+AJ$17,1))</f>
        <v>2.8</v>
      </c>
      <c r="AF78" s="13" t="n">
        <v>2</v>
      </c>
      <c r="AG78" s="6" t="n">
        <f aca="false">IF(AF78="","",ROUND(((AF78-AJ$15)/AJ$16)*AJ$18+AJ$17,1))</f>
        <v>2</v>
      </c>
      <c r="AH78" s="12"/>
    </row>
    <row r="79" customFormat="false" ht="15" hidden="false" customHeight="true" outlineLevel="0" collapsed="false">
      <c r="A79" s="5" t="s">
        <v>143</v>
      </c>
      <c r="B79" s="5" t="s">
        <v>217</v>
      </c>
      <c r="C79" s="6" t="n">
        <f aca="false">IFERROR(ROUND(MAX(0,AVERAGE(F79,H79,J79,L79,N79)),1),"")</f>
        <v>3.1</v>
      </c>
      <c r="D79" s="7" t="n">
        <f aca="false">COUNT(E79,G79,I79,K79,M79)</f>
        <v>4</v>
      </c>
      <c r="E79" s="13" t="n">
        <v>7</v>
      </c>
      <c r="F79" s="6" t="n">
        <f aca="false">IF(E79="","",ROUND(((E79-Q$7)/Q$8)*Q$18+Q$17,1))</f>
        <v>5.3</v>
      </c>
      <c r="G79" s="13"/>
      <c r="H79" s="6" t="str">
        <f aca="false">IF(G79="","",ROUND(((G79-Q$9)/Q$10)*Q$18+Q$17,1))</f>
        <v/>
      </c>
      <c r="I79" s="17" t="n">
        <v>1.5</v>
      </c>
      <c r="J79" s="6" t="n">
        <f aca="false">IF(I79="","",ROUND(((I79-Q$11)/Q$12)*Q$18+Q$17,1))</f>
        <v>-9.2</v>
      </c>
      <c r="K79" s="13" t="n">
        <v>326</v>
      </c>
      <c r="L79" s="6" t="n">
        <f aca="false">IF(K79="","",ROUND(((K79-Q$13)/Q$14)*Q$18+Q$17,1))</f>
        <v>7.1</v>
      </c>
      <c r="M79" s="13" t="n">
        <v>9</v>
      </c>
      <c r="N79" s="6" t="n">
        <f aca="false">IF(M79="","",ROUND(((M79-Q$15)/Q$16)*Q$18+Q$17,1))</f>
        <v>9</v>
      </c>
      <c r="O79" s="12"/>
      <c r="T79" s="5" t="s">
        <v>143</v>
      </c>
      <c r="U79" s="5" t="s">
        <v>217</v>
      </c>
      <c r="V79" s="6" t="n">
        <f aca="false">IFERROR(MIN(ROUND(MAX(0,AVERAGE(Y79,AA79,AC79,AE79,AG79)),1),3),"")</f>
        <v>3</v>
      </c>
      <c r="W79" s="7" t="n">
        <f aca="false">COUNT(X79,Z79,AB79,AD79,AF79)</f>
        <v>4</v>
      </c>
      <c r="X79" s="13" t="n">
        <v>6</v>
      </c>
      <c r="Y79" s="6" t="n">
        <f aca="false">IF(X79="","",ROUND(((X79-AJ$7)/AJ$8)*AJ$18+AJ$17,1))</f>
        <v>5.2</v>
      </c>
      <c r="Z79" s="13"/>
      <c r="AA79" s="6" t="str">
        <f aca="false">IF(Z79="","",ROUND(((Z79-AJ$9)/AJ$10)*AJ$18+AJ$17,1))</f>
        <v/>
      </c>
      <c r="AB79" s="13" t="n">
        <v>1.3</v>
      </c>
      <c r="AC79" s="6" t="n">
        <f aca="false">IF(AB79="","",ROUND(((AB79-AJ$11)/AJ$12)*AJ$18+AJ$17,1))</f>
        <v>-6.4</v>
      </c>
      <c r="AD79" s="17" t="n">
        <v>289.8</v>
      </c>
      <c r="AE79" s="6" t="n">
        <f aca="false">IF(AD79="","",ROUND(((AD79-AJ$13)/AJ$14)*AJ$18+AJ$17,1))</f>
        <v>6.1</v>
      </c>
      <c r="AF79" s="13" t="n">
        <v>8</v>
      </c>
      <c r="AG79" s="6" t="n">
        <f aca="false">IF(AF79="","",ROUND(((AF79-AJ$15)/AJ$16)*AJ$18+AJ$17,1))</f>
        <v>8</v>
      </c>
      <c r="AH79" s="12"/>
    </row>
    <row r="80" customFormat="false" ht="15" hidden="false" customHeight="true" outlineLevel="0" collapsed="false">
      <c r="A80" s="5" t="s">
        <v>143</v>
      </c>
      <c r="B80" s="5" t="s">
        <v>218</v>
      </c>
      <c r="C80" s="6" t="n">
        <f aca="false">IFERROR(ROUND(MAX(0,AVERAGE(F80,H80,J80,L80,N80)),1),"")</f>
        <v>2.9</v>
      </c>
      <c r="D80" s="7" t="n">
        <f aca="false">COUNT(E80,G80,I80,K80,M80)</f>
        <v>3</v>
      </c>
      <c r="E80" s="13" t="n">
        <v>5</v>
      </c>
      <c r="F80" s="6" t="n">
        <f aca="false">IF(E80="","",ROUND(((E80-Q$7)/Q$8)*Q$18+Q$17,1))</f>
        <v>3.5</v>
      </c>
      <c r="G80" s="13"/>
      <c r="H80" s="6" t="str">
        <f aca="false">IF(G80="","",ROUND(((G80-Q$9)/Q$10)*Q$18+Q$17,1))</f>
        <v/>
      </c>
      <c r="I80" s="13"/>
      <c r="J80" s="6" t="str">
        <f aca="false">IF(I80="","",ROUND(((I80-Q$11)/Q$12)*Q$18+Q$17,1))</f>
        <v/>
      </c>
      <c r="K80" s="13" t="n">
        <v>182</v>
      </c>
      <c r="L80" s="6" t="n">
        <f aca="false">IF(K80="","",ROUND(((K80-Q$13)/Q$14)*Q$18+Q$17,1))</f>
        <v>3.3</v>
      </c>
      <c r="M80" s="13" t="n">
        <v>2</v>
      </c>
      <c r="N80" s="6" t="n">
        <f aca="false">IF(M80="","",ROUND(((M80-Q$15)/Q$16)*Q$18+Q$17,1))</f>
        <v>2</v>
      </c>
      <c r="O80" s="12"/>
      <c r="T80" s="5" t="s">
        <v>143</v>
      </c>
      <c r="U80" s="5" t="s">
        <v>218</v>
      </c>
      <c r="V80" s="6" t="n">
        <f aca="false">IFERROR(MIN(ROUND(MAX(0,AVERAGE(Y80,AA80,AC80,AE80,AG80)),1),2.9),"")</f>
        <v>2.9</v>
      </c>
      <c r="W80" s="7" t="n">
        <f aca="false">COUNT(X80,Z80,AB80,AD80,AF80)</f>
        <v>3</v>
      </c>
      <c r="X80" s="13" t="n">
        <v>4</v>
      </c>
      <c r="Y80" s="6" t="n">
        <f aca="false">IF(X80="","",ROUND(((X80-AJ$7)/AJ$8)*AJ$18+AJ$17,1))</f>
        <v>3.4</v>
      </c>
      <c r="Z80" s="13"/>
      <c r="AA80" s="6" t="str">
        <f aca="false">IF(Z80="","",ROUND(((Z80-AJ$9)/AJ$10)*AJ$18+AJ$17,1))</f>
        <v/>
      </c>
      <c r="AB80" s="13"/>
      <c r="AC80" s="6" t="str">
        <f aca="false">IF(AB80="","",ROUND(((AB80-AJ$11)/AJ$12)*AJ$18+AJ$17,1))</f>
        <v/>
      </c>
      <c r="AD80" s="17" t="n">
        <v>182</v>
      </c>
      <c r="AE80" s="6" t="n">
        <f aca="false">IF(AD80="","",ROUND(((AD80-AJ$13)/AJ$14)*AJ$18+AJ$17,1))</f>
        <v>3.2</v>
      </c>
      <c r="AF80" s="13" t="n">
        <v>2</v>
      </c>
      <c r="AG80" s="6" t="n">
        <f aca="false">IF(AF80="","",ROUND(((AF80-AJ$15)/AJ$16)*AJ$18+AJ$17,1))</f>
        <v>2</v>
      </c>
      <c r="AH80" s="12"/>
    </row>
    <row r="81" customFormat="false" ht="15" hidden="false" customHeight="true" outlineLevel="0" collapsed="false">
      <c r="A81" s="5" t="s">
        <v>143</v>
      </c>
      <c r="B81" s="5" t="s">
        <v>219</v>
      </c>
      <c r="C81" s="6" t="n">
        <f aca="false">IFERROR(ROUND(MAX(0,AVERAGE(F81,H81,J81,L81,N81)),1),"")</f>
        <v>3</v>
      </c>
      <c r="D81" s="7" t="n">
        <f aca="false">COUNT(E81,G81,I81,K81,M81)</f>
        <v>3</v>
      </c>
      <c r="E81" s="13" t="n">
        <v>2</v>
      </c>
      <c r="F81" s="6" t="n">
        <f aca="false">IF(E81="","",ROUND(((E81-Q$7)/Q$8)*Q$18+Q$17,1))</f>
        <v>0.8</v>
      </c>
      <c r="G81" s="13"/>
      <c r="H81" s="6" t="str">
        <f aca="false">IF(G81="","",ROUND(((G81-Q$9)/Q$10)*Q$18+Q$17,1))</f>
        <v/>
      </c>
      <c r="I81" s="13"/>
      <c r="J81" s="6" t="str">
        <f aca="false">IF(I81="","",ROUND(((I81-Q$11)/Q$12)*Q$18+Q$17,1))</f>
        <v/>
      </c>
      <c r="K81" s="13" t="n">
        <v>323</v>
      </c>
      <c r="L81" s="6" t="n">
        <f aca="false">IF(K81="","",ROUND(((K81-Q$13)/Q$14)*Q$18+Q$17,1))</f>
        <v>7.1</v>
      </c>
      <c r="M81" s="13" t="n">
        <v>1</v>
      </c>
      <c r="N81" s="6" t="n">
        <f aca="false">IF(M81="","",ROUND(((M81-Q$15)/Q$16)*Q$18+Q$17,1))</f>
        <v>1</v>
      </c>
      <c r="O81" s="12"/>
      <c r="T81" s="5" t="s">
        <v>143</v>
      </c>
      <c r="U81" s="5" t="s">
        <v>220</v>
      </c>
      <c r="V81" s="6" t="n">
        <f aca="false">IFERROR(MIN(ROUND(MAX(0,AVERAGE(Y81,AA81,AC81,AE81,AG81)),1),2.3),"")</f>
        <v>2.3</v>
      </c>
      <c r="W81" s="7" t="n">
        <f aca="false">COUNT(X81,Z81,AB81,AD81,AF81)</f>
        <v>4</v>
      </c>
      <c r="X81" s="13" t="n">
        <v>6</v>
      </c>
      <c r="Y81" s="6" t="n">
        <f aca="false">IF(X81="","",ROUND(((X81-AJ$7)/AJ$8)*AJ$18+AJ$17,1))</f>
        <v>5.2</v>
      </c>
      <c r="Z81" s="13"/>
      <c r="AA81" s="6" t="str">
        <f aca="false">IF(Z81="","",ROUND(((Z81-AJ$9)/AJ$10)*AJ$18+AJ$17,1))</f>
        <v/>
      </c>
      <c r="AB81" s="13" t="n">
        <v>1</v>
      </c>
      <c r="AC81" s="6" t="n">
        <f aca="false">IF(AB81="","",ROUND(((AB81-AJ$11)/AJ$12)*AJ$18+AJ$17,1))</f>
        <v>-6.9</v>
      </c>
      <c r="AD81" s="17" t="n">
        <v>361.7</v>
      </c>
      <c r="AE81" s="6" t="n">
        <f aca="false">IF(AD81="","",ROUND(((AD81-AJ$13)/AJ$14)*AJ$18+AJ$17,1))</f>
        <v>8</v>
      </c>
      <c r="AF81" s="13" t="n">
        <v>3</v>
      </c>
      <c r="AG81" s="6" t="n">
        <f aca="false">IF(AF81="","",ROUND(((AF81-AJ$15)/AJ$16)*AJ$18+AJ$17,1))</f>
        <v>3</v>
      </c>
      <c r="AH81" s="12"/>
    </row>
    <row r="82" customFormat="false" ht="15" hidden="false" customHeight="true" outlineLevel="0" collapsed="false">
      <c r="A82" s="5" t="s">
        <v>143</v>
      </c>
      <c r="B82" s="5" t="s">
        <v>220</v>
      </c>
      <c r="C82" s="6" t="n">
        <f aca="false">IFERROR(ROUND(MAX(0,AVERAGE(F82,H82,J82,L82,N82)),1),"")</f>
        <v>2.4</v>
      </c>
      <c r="D82" s="7" t="n">
        <f aca="false">COUNT(E82,G82,I82,K82,M82)</f>
        <v>4</v>
      </c>
      <c r="E82" s="13" t="n">
        <v>7</v>
      </c>
      <c r="F82" s="6" t="n">
        <f aca="false">IF(E82="","",ROUND(((E82-Q$7)/Q$8)*Q$18+Q$17,1))</f>
        <v>5.3</v>
      </c>
      <c r="G82" s="13"/>
      <c r="H82" s="6" t="str">
        <f aca="false">IF(G82="","",ROUND(((G82-Q$9)/Q$10)*Q$18+Q$17,1))</f>
        <v/>
      </c>
      <c r="I82" s="17" t="n">
        <v>1.2</v>
      </c>
      <c r="J82" s="6" t="n">
        <f aca="false">IF(I82="","",ROUND(((I82-Q$11)/Q$12)*Q$18+Q$17,1))</f>
        <v>-9.6</v>
      </c>
      <c r="K82" s="13" t="n">
        <v>422</v>
      </c>
      <c r="L82" s="6" t="n">
        <f aca="false">IF(K82="","",ROUND(((K82-Q$13)/Q$14)*Q$18+Q$17,1))</f>
        <v>9.7</v>
      </c>
      <c r="M82" s="13" t="n">
        <v>4</v>
      </c>
      <c r="N82" s="6" t="n">
        <f aca="false">IF(M82="","",ROUND(((M82-Q$15)/Q$16)*Q$18+Q$17,1))</f>
        <v>4</v>
      </c>
      <c r="O82" s="12"/>
      <c r="T82" s="5" t="s">
        <v>143</v>
      </c>
      <c r="U82" s="5" t="s">
        <v>221</v>
      </c>
      <c r="V82" s="6" t="n">
        <f aca="false">IFERROR(MIN(ROUND(MAX(0,AVERAGE(Y82,AA82,AC82,AE82,AG82)),1),1.7),"")</f>
        <v>1.7</v>
      </c>
      <c r="W82" s="7" t="n">
        <f aca="false">COUNT(X82,Z82,AB82,AD82,AF82)</f>
        <v>4</v>
      </c>
      <c r="X82" s="13" t="n">
        <v>6</v>
      </c>
      <c r="Y82" s="6" t="n">
        <f aca="false">IF(X82="","",ROUND(((X82-AJ$7)/AJ$8)*AJ$18+AJ$17,1))</f>
        <v>5.2</v>
      </c>
      <c r="Z82" s="13"/>
      <c r="AA82" s="6" t="str">
        <f aca="false">IF(Z82="","",ROUND(((Z82-AJ$9)/AJ$10)*AJ$18+AJ$17,1))</f>
        <v/>
      </c>
      <c r="AB82" s="13" t="n">
        <v>3.7</v>
      </c>
      <c r="AC82" s="6" t="n">
        <f aca="false">IF(AB82="","",ROUND(((AB82-AJ$11)/AJ$12)*AJ$18+AJ$17,1))</f>
        <v>-2.9</v>
      </c>
      <c r="AD82" s="17" t="n">
        <v>188</v>
      </c>
      <c r="AE82" s="6" t="n">
        <f aca="false">IF(AD82="","",ROUND(((AD82-AJ$13)/AJ$14)*AJ$18+AJ$17,1))</f>
        <v>3.4</v>
      </c>
      <c r="AF82" s="13" t="n">
        <v>4</v>
      </c>
      <c r="AG82" s="6" t="n">
        <f aca="false">IF(AF82="","",ROUND(((AF82-AJ$15)/AJ$16)*AJ$18+AJ$17,1))</f>
        <v>4</v>
      </c>
      <c r="AH82" s="12"/>
    </row>
    <row r="83" customFormat="false" ht="15" hidden="false" customHeight="true" outlineLevel="0" collapsed="false">
      <c r="A83" s="5" t="s">
        <v>143</v>
      </c>
      <c r="B83" s="5" t="s">
        <v>222</v>
      </c>
      <c r="C83" s="6" t="n">
        <f aca="false">IFERROR(ROUND(MAX(0,AVERAGE(F83,H83,J83,L83,N83)),1),"")</f>
        <v>2.1</v>
      </c>
      <c r="D83" s="7" t="n">
        <f aca="false">COUNT(E83,G83,I83,K83,M83)</f>
        <v>3</v>
      </c>
      <c r="E83" s="13" t="n">
        <v>4</v>
      </c>
      <c r="F83" s="6" t="n">
        <f aca="false">IF(E83="","",ROUND(((E83-Q$7)/Q$8)*Q$18+Q$17,1))</f>
        <v>2.6</v>
      </c>
      <c r="G83" s="13"/>
      <c r="H83" s="6" t="str">
        <f aca="false">IF(G83="","",ROUND(((G83-Q$9)/Q$10)*Q$18+Q$17,1))</f>
        <v/>
      </c>
      <c r="I83" s="13"/>
      <c r="J83" s="6" t="str">
        <f aca="false">IF(I83="","",ROUND(((I83-Q$11)/Q$12)*Q$18+Q$17,1))</f>
        <v/>
      </c>
      <c r="K83" s="13" t="n">
        <v>154</v>
      </c>
      <c r="L83" s="6" t="n">
        <f aca="false">IF(K83="","",ROUND(((K83-Q$13)/Q$14)*Q$18+Q$17,1))</f>
        <v>2.6</v>
      </c>
      <c r="M83" s="13" t="n">
        <v>1</v>
      </c>
      <c r="N83" s="6" t="n">
        <f aca="false">IF(M83="","",ROUND(((M83-Q$15)/Q$16)*Q$18+Q$17,1))</f>
        <v>1</v>
      </c>
      <c r="O83" s="12"/>
      <c r="T83" s="5" t="s">
        <v>143</v>
      </c>
      <c r="U83" s="5" t="s">
        <v>223</v>
      </c>
      <c r="V83" s="6" t="n">
        <f aca="false">IFERROR(MIN(ROUND(MAX(0,AVERAGE(Y83,AA83,AC83,AE83,AG83)),1),1.4),"")</f>
        <v>1.4</v>
      </c>
      <c r="W83" s="7" t="n">
        <f aca="false">COUNT(X83,Z83,AB83,AD83,AF83)</f>
        <v>4</v>
      </c>
      <c r="X83" s="13" t="n">
        <v>7</v>
      </c>
      <c r="Y83" s="6" t="n">
        <f aca="false">IF(X83="","",ROUND(((X83-AJ$7)/AJ$8)*AJ$18+AJ$17,1))</f>
        <v>6.2</v>
      </c>
      <c r="Z83" s="13"/>
      <c r="AA83" s="6" t="str">
        <f aca="false">IF(Z83="","",ROUND(((Z83-AJ$9)/AJ$10)*AJ$18+AJ$17,1))</f>
        <v/>
      </c>
      <c r="AB83" s="13" t="n">
        <v>1</v>
      </c>
      <c r="AC83" s="6" t="n">
        <f aca="false">IF(AB83="","",ROUND(((AB83-AJ$11)/AJ$12)*AJ$18+AJ$17,1))</f>
        <v>-6.9</v>
      </c>
      <c r="AD83" s="17" t="n">
        <v>374</v>
      </c>
      <c r="AE83" s="6" t="n">
        <f aca="false">IF(AD83="","",ROUND(((AD83-AJ$13)/AJ$14)*AJ$18+AJ$17,1))</f>
        <v>8.3</v>
      </c>
      <c r="AF83" s="13" t="n">
        <v>1</v>
      </c>
      <c r="AG83" s="6" t="n">
        <f aca="false">IF(AF83="","",ROUND(((AF83-AJ$15)/AJ$16)*AJ$18+AJ$17,1))</f>
        <v>1</v>
      </c>
      <c r="AH83" s="12"/>
    </row>
    <row r="84" customFormat="false" ht="15" hidden="false" customHeight="true" outlineLevel="0" collapsed="false">
      <c r="A84" s="5" t="s">
        <v>143</v>
      </c>
      <c r="B84" s="5" t="s">
        <v>221</v>
      </c>
      <c r="C84" s="6" t="n">
        <f aca="false">IFERROR(ROUND(MAX(0,AVERAGE(F84,H84,J84,L84,N84)),1),"")</f>
        <v>1.7</v>
      </c>
      <c r="D84" s="7" t="n">
        <f aca="false">COUNT(E84,G84,I84,K84,M84)</f>
        <v>4</v>
      </c>
      <c r="E84" s="13" t="n">
        <v>7</v>
      </c>
      <c r="F84" s="6" t="n">
        <f aca="false">IF(E84="","",ROUND(((E84-Q$7)/Q$8)*Q$18+Q$17,1))</f>
        <v>5.3</v>
      </c>
      <c r="G84" s="13"/>
      <c r="H84" s="6" t="str">
        <f aca="false">IF(G84="","",ROUND(((G84-Q$9)/Q$10)*Q$18+Q$17,1))</f>
        <v/>
      </c>
      <c r="I84" s="17" t="n">
        <v>3.7</v>
      </c>
      <c r="J84" s="6" t="n">
        <f aca="false">IF(I84="","",ROUND(((I84-Q$11)/Q$12)*Q$18+Q$17,1))</f>
        <v>-6</v>
      </c>
      <c r="K84" s="13" t="n">
        <v>188</v>
      </c>
      <c r="L84" s="6" t="n">
        <f aca="false">IF(K84="","",ROUND(((K84-Q$13)/Q$14)*Q$18+Q$17,1))</f>
        <v>3.5</v>
      </c>
      <c r="M84" s="13" t="n">
        <v>4</v>
      </c>
      <c r="N84" s="6" t="n">
        <f aca="false">IF(M84="","",ROUND(((M84-Q$15)/Q$16)*Q$18+Q$17,1))</f>
        <v>4</v>
      </c>
      <c r="O84" s="12"/>
      <c r="T84" s="5" t="s">
        <v>143</v>
      </c>
      <c r="U84" s="5" t="s">
        <v>224</v>
      </c>
      <c r="V84" s="6" t="n">
        <f aca="false">IFERROR(MIN(ROUND(MAX(0,AVERAGE(Y84,AA84,AC84,AE84,AG84)),1),1),"")</f>
        <v>1</v>
      </c>
      <c r="W84" s="7" t="n">
        <f aca="false">COUNT(X84,Z84,AB84,AD84,AF84)</f>
        <v>3</v>
      </c>
      <c r="X84" s="13" t="n">
        <v>5</v>
      </c>
      <c r="Y84" s="6" t="n">
        <f aca="false">IF(X84="","",ROUND(((X84-AJ$7)/AJ$8)*AJ$18+AJ$17,1))</f>
        <v>4.3</v>
      </c>
      <c r="Z84" s="13"/>
      <c r="AA84" s="6" t="str">
        <f aca="false">IF(Z84="","",ROUND(((Z84-AJ$9)/AJ$10)*AJ$18+AJ$17,1))</f>
        <v/>
      </c>
      <c r="AB84" s="13" t="n">
        <v>4.8</v>
      </c>
      <c r="AC84" s="6" t="n">
        <f aca="false">IF(AB84="","",ROUND(((AB84-AJ$11)/AJ$12)*AJ$18+AJ$17,1))</f>
        <v>-1.4</v>
      </c>
      <c r="AD84" s="13"/>
      <c r="AE84" s="6" t="str">
        <f aca="false">IF(AD84="","",ROUND(((AD84-AJ$13)/AJ$14)*AJ$18+AJ$17,1))</f>
        <v/>
      </c>
      <c r="AF84" s="13" t="n">
        <v>3</v>
      </c>
      <c r="AG84" s="6" t="n">
        <f aca="false">IF(AF84="","",ROUND(((AF84-AJ$15)/AJ$16)*AJ$18+AJ$17,1))</f>
        <v>3</v>
      </c>
      <c r="AH84" s="12"/>
    </row>
    <row r="85" customFormat="false" ht="15" hidden="false" customHeight="true" outlineLevel="0" collapsed="false">
      <c r="A85" s="5" t="s">
        <v>143</v>
      </c>
      <c r="B85" s="5" t="s">
        <v>223</v>
      </c>
      <c r="C85" s="6" t="n">
        <f aca="false">IFERROR(ROUND(MAX(0,AVERAGE(F85,H85,J85,L85,N85)),1),"")</f>
        <v>1.4</v>
      </c>
      <c r="D85" s="7" t="n">
        <f aca="false">COUNT(E85,G85,I85,K85,M85)</f>
        <v>4</v>
      </c>
      <c r="E85" s="13" t="n">
        <v>8</v>
      </c>
      <c r="F85" s="6" t="n">
        <f aca="false">IF(E85="","",ROUND(((E85-Q$7)/Q$8)*Q$18+Q$17,1))</f>
        <v>6.2</v>
      </c>
      <c r="G85" s="13"/>
      <c r="H85" s="6" t="str">
        <f aca="false">IF(G85="","",ROUND(((G85-Q$9)/Q$10)*Q$18+Q$17,1))</f>
        <v/>
      </c>
      <c r="I85" s="17" t="n">
        <v>1</v>
      </c>
      <c r="J85" s="6" t="n">
        <f aca="false">IF(I85="","",ROUND(((I85-Q$11)/Q$12)*Q$18+Q$17,1))</f>
        <v>-9.9</v>
      </c>
      <c r="K85" s="13" t="n">
        <v>374</v>
      </c>
      <c r="L85" s="6" t="n">
        <f aca="false">IF(K85="","",ROUND(((K85-Q$13)/Q$14)*Q$18+Q$17,1))</f>
        <v>8.4</v>
      </c>
      <c r="M85" s="13" t="n">
        <v>1</v>
      </c>
      <c r="N85" s="6" t="n">
        <f aca="false">IF(M85="","",ROUND(((M85-Q$15)/Q$16)*Q$18+Q$17,1))</f>
        <v>1</v>
      </c>
      <c r="O85" s="12"/>
      <c r="T85" s="5" t="s">
        <v>143</v>
      </c>
      <c r="U85" s="5" t="s">
        <v>225</v>
      </c>
      <c r="V85" s="6" t="n">
        <f aca="false">IFERROR(MIN(ROUND(MAX(0,AVERAGE(Y85,AA85,AC85,AE85,AG85)),1),0.9),"")</f>
        <v>0</v>
      </c>
      <c r="W85" s="7" t="n">
        <f aca="false">COUNT(X85,Z85,AB85,AD85,AF85)</f>
        <v>3</v>
      </c>
      <c r="X85" s="13" t="n">
        <v>0</v>
      </c>
      <c r="Y85" s="6" t="n">
        <f aca="false">IF(X85="","",ROUND(((X85-AJ$7)/AJ$8)*AJ$18+AJ$17,1))</f>
        <v>-0.2</v>
      </c>
      <c r="Z85" s="13"/>
      <c r="AA85" s="6" t="str">
        <f aca="false">IF(Z85="","",ROUND(((Z85-AJ$9)/AJ$10)*AJ$18+AJ$17,1))</f>
        <v/>
      </c>
      <c r="AB85" s="13" t="n">
        <v>2.7</v>
      </c>
      <c r="AC85" s="6" t="n">
        <f aca="false">IF(AB85="","",ROUND(((AB85-AJ$11)/AJ$12)*AJ$18+AJ$17,1))</f>
        <v>-4.4</v>
      </c>
      <c r="AD85" s="13"/>
      <c r="AE85" s="6" t="str">
        <f aca="false">IF(AD85="","",ROUND(((AD85-AJ$13)/AJ$14)*AJ$18+AJ$17,1))</f>
        <v/>
      </c>
      <c r="AF85" s="13" t="n">
        <v>2</v>
      </c>
      <c r="AG85" s="6" t="n">
        <f aca="false">IF(AF85="","",ROUND(((AF85-AJ$15)/AJ$16)*AJ$18+AJ$17,1))</f>
        <v>2</v>
      </c>
      <c r="AH85" s="12"/>
    </row>
    <row r="86" customFormat="false" ht="15" hidden="false" customHeight="true" outlineLevel="0" collapsed="false">
      <c r="A86" s="5" t="s">
        <v>143</v>
      </c>
      <c r="B86" s="5" t="s">
        <v>226</v>
      </c>
      <c r="C86" s="6" t="n">
        <f aca="false">IFERROR(ROUND(MAX(0,AVERAGE(F86,H86,J86,L86,N86)),1),"")</f>
        <v>1.3</v>
      </c>
      <c r="D86" s="7" t="n">
        <f aca="false">COUNT(E86,G86,I86,K86,M86)</f>
        <v>3</v>
      </c>
      <c r="E86" s="13" t="n">
        <v>0</v>
      </c>
      <c r="F86" s="6" t="n">
        <f aca="false">IF(E86="","",ROUND(((E86-Q$7)/Q$8)*Q$18+Q$17,1))</f>
        <v>-1</v>
      </c>
      <c r="G86" s="13"/>
      <c r="H86" s="6" t="str">
        <f aca="false">IF(G86="","",ROUND(((G86-Q$9)/Q$10)*Q$18+Q$17,1))</f>
        <v/>
      </c>
      <c r="I86" s="13"/>
      <c r="J86" s="6" t="str">
        <f aca="false">IF(I86="","",ROUND(((I86-Q$11)/Q$12)*Q$18+Q$17,1))</f>
        <v/>
      </c>
      <c r="K86" s="13" t="n">
        <v>207</v>
      </c>
      <c r="L86" s="6" t="n">
        <f aca="false">IF(K86="","",ROUND(((K86-Q$13)/Q$14)*Q$18+Q$17,1))</f>
        <v>4</v>
      </c>
      <c r="M86" s="13" t="n">
        <v>1</v>
      </c>
      <c r="N86" s="6" t="n">
        <f aca="false">IF(M86="","",ROUND(((M86-Q$15)/Q$16)*Q$18+Q$17,1))</f>
        <v>1</v>
      </c>
      <c r="O86" s="12"/>
    </row>
    <row r="87" customFormat="false" ht="15" hidden="false" customHeight="true" outlineLevel="0" collapsed="false">
      <c r="A87" s="5" t="s">
        <v>143</v>
      </c>
      <c r="B87" s="5" t="s">
        <v>224</v>
      </c>
      <c r="C87" s="6" t="n">
        <f aca="false">IFERROR(ROUND(MAX(0,AVERAGE(F87,H87,J87,L87,N87)),1),"")</f>
        <v>1</v>
      </c>
      <c r="D87" s="7" t="n">
        <f aca="false">COUNT(E87,G87,I87,K87,M87)</f>
        <v>3</v>
      </c>
      <c r="E87" s="13" t="n">
        <v>6</v>
      </c>
      <c r="F87" s="6" t="n">
        <f aca="false">IF(E87="","",ROUND(((E87-Q$7)/Q$8)*Q$18+Q$17,1))</f>
        <v>4.4</v>
      </c>
      <c r="G87" s="13"/>
      <c r="H87" s="6" t="str">
        <f aca="false">IF(G87="","",ROUND(((G87-Q$9)/Q$10)*Q$18+Q$17,1))</f>
        <v/>
      </c>
      <c r="I87" s="17" t="n">
        <v>4.8</v>
      </c>
      <c r="J87" s="6" t="n">
        <f aca="false">IF(I87="","",ROUND(((I87-Q$11)/Q$12)*Q$18+Q$17,1))</f>
        <v>-4.4</v>
      </c>
      <c r="K87" s="13"/>
      <c r="L87" s="6" t="str">
        <f aca="false">IF(K87="","",ROUND(((K87-Q$13)/Q$14)*Q$18+Q$17,1))</f>
        <v/>
      </c>
      <c r="M87" s="13" t="n">
        <v>3</v>
      </c>
      <c r="N87" s="6" t="n">
        <f aca="false">IF(M87="","",ROUND(((M87-Q$15)/Q$16)*Q$18+Q$17,1))</f>
        <v>3</v>
      </c>
      <c r="O87" s="12"/>
    </row>
    <row r="88" customFormat="false" ht="15" hidden="false" customHeight="true" outlineLevel="0" collapsed="false">
      <c r="A88" s="5" t="s">
        <v>143</v>
      </c>
      <c r="B88" s="5" t="s">
        <v>225</v>
      </c>
      <c r="C88" s="6" t="n">
        <f aca="false">IFERROR(ROUND(MAX(0,AVERAGE(F88,H88,J88,L88,N88)),1),"")</f>
        <v>0.9</v>
      </c>
      <c r="D88" s="7" t="n">
        <f aca="false">COUNT(E88,G88,I88,K88,M88)</f>
        <v>3</v>
      </c>
      <c r="E88" s="13" t="n">
        <v>0</v>
      </c>
      <c r="F88" s="6" t="n">
        <f aca="false">IF(E88="","",ROUND(((E88-Q$7)/Q$8)*Q$18+Q$17,1))</f>
        <v>-1</v>
      </c>
      <c r="G88" s="13"/>
      <c r="H88" s="6" t="str">
        <f aca="false">IF(G88="","",ROUND(((G88-Q$9)/Q$10)*Q$18+Q$17,1))</f>
        <v/>
      </c>
      <c r="I88" s="13"/>
      <c r="J88" s="6" t="str">
        <f aca="false">IF(I88="","",ROUND(((I88-Q$11)/Q$12)*Q$18+Q$17,1))</f>
        <v/>
      </c>
      <c r="K88" s="13" t="n">
        <v>160</v>
      </c>
      <c r="L88" s="6" t="n">
        <f aca="false">IF(K88="","",ROUND(((K88-Q$13)/Q$14)*Q$18+Q$17,1))</f>
        <v>2.8</v>
      </c>
      <c r="M88" s="13" t="n">
        <v>1</v>
      </c>
      <c r="N88" s="6" t="n">
        <f aca="false">IF(M88="","",ROUND(((M88-Q$15)/Q$16)*Q$18+Q$17,1))</f>
        <v>1</v>
      </c>
      <c r="O88" s="12"/>
    </row>
    <row r="89" customFormat="false" ht="15" hidden="false" customHeight="true" outlineLevel="0" collapsed="false">
      <c r="A89" s="5" t="s">
        <v>143</v>
      </c>
      <c r="B89" s="5" t="s">
        <v>227</v>
      </c>
      <c r="C89" s="6" t="n">
        <f aca="false">IFERROR(ROUND(MAX(0,AVERAGE(F89,H89,J89,L89,N89)),1),"")</f>
        <v>0.8</v>
      </c>
      <c r="D89" s="7" t="n">
        <f aca="false">COUNT(E89,G89,I89,K89,M89)</f>
        <v>3</v>
      </c>
      <c r="E89" s="13" t="n">
        <v>0</v>
      </c>
      <c r="F89" s="6" t="n">
        <f aca="false">IF(E89="","",ROUND(((E89-Q$7)/Q$8)*Q$18+Q$17,1))</f>
        <v>-1</v>
      </c>
      <c r="G89" s="13"/>
      <c r="H89" s="6" t="str">
        <f aca="false">IF(G89="","",ROUND(((G89-Q$9)/Q$10)*Q$18+Q$17,1))</f>
        <v/>
      </c>
      <c r="I89" s="13"/>
      <c r="J89" s="6" t="str">
        <f aca="false">IF(I89="","",ROUND(((I89-Q$11)/Q$12)*Q$18+Q$17,1))</f>
        <v/>
      </c>
      <c r="K89" s="13" t="n">
        <v>144</v>
      </c>
      <c r="L89" s="6" t="n">
        <f aca="false">IF(K89="","",ROUND(((K89-Q$13)/Q$14)*Q$18+Q$17,1))</f>
        <v>2.3</v>
      </c>
      <c r="M89" s="13" t="n">
        <v>1</v>
      </c>
      <c r="N89" s="6" t="n">
        <f aca="false">IF(M89="","",ROUND(((M89-Q$15)/Q$16)*Q$18+Q$17,1))</f>
        <v>1</v>
      </c>
      <c r="O89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4"/>
    <col collapsed="false" customWidth="true" hidden="false" outlineLevel="0" max="3" min="3" style="1" width="16"/>
    <col collapsed="false" customWidth="true" hidden="false" outlineLevel="0" max="4" min="4" style="1" width="10"/>
    <col collapsed="false" customWidth="true" hidden="false" outlineLevel="0" max="14" min="5" style="1" width="9"/>
    <col collapsed="false" customWidth="true" hidden="false" outlineLevel="0" max="15" min="15" style="1" width="4"/>
    <col collapsed="false" customWidth="true" hidden="false" outlineLevel="0" max="16" min="16" style="1" width="26"/>
    <col collapsed="false" customWidth="true" hidden="false" outlineLevel="0" max="17" min="17" style="1" width="9"/>
    <col collapsed="false" customWidth="true" hidden="false" outlineLevel="0" max="20" min="20" style="1" width="6"/>
    <col collapsed="false" customWidth="true" hidden="false" outlineLevel="0" max="21" min="21" style="1" width="24"/>
    <col collapsed="false" customWidth="true" hidden="false" outlineLevel="0" max="22" min="22" style="1" width="16"/>
    <col collapsed="false" customWidth="true" hidden="false" outlineLevel="0" max="23" min="23" style="1" width="10"/>
    <col collapsed="false" customWidth="true" hidden="false" outlineLevel="0" max="33" min="24" style="1" width="9"/>
    <col collapsed="false" customWidth="true" hidden="false" outlineLevel="0" max="34" min="34" style="1" width="4"/>
    <col collapsed="false" customWidth="true" hidden="false" outlineLevel="0" max="35" min="35" style="1" width="26"/>
    <col collapsed="false" customWidth="true" hidden="false" outlineLevel="0" max="36" min="36" style="1" width="9"/>
    <col collapsed="false" customWidth="true" hidden="false" outlineLevel="0" max="39" min="39" style="1" width="6"/>
    <col collapsed="false" customWidth="true" hidden="false" outlineLevel="0" max="40" min="40" style="1" width="24"/>
    <col collapsed="false" customWidth="true" hidden="false" outlineLevel="0" max="41" min="41" style="1" width="16"/>
    <col collapsed="false" customWidth="true" hidden="false" outlineLevel="0" max="42" min="42" style="1" width="10"/>
    <col collapsed="false" customWidth="true" hidden="false" outlineLevel="0" max="52" min="43" style="1" width="9"/>
    <col collapsed="false" customWidth="true" hidden="false" outlineLevel="0" max="53" min="53" style="1" width="4"/>
    <col collapsed="false" customWidth="true" hidden="false" outlineLevel="0" max="54" min="54" style="1" width="26"/>
    <col collapsed="false" customWidth="true" hidden="false" outlineLevel="0" max="55" min="55" style="1" width="9"/>
  </cols>
  <sheetData>
    <row r="1" customFormat="false" ht="17.25" hidden="false" customHeight="true" outlineLevel="0" collapsed="false">
      <c r="A1" s="2" t="s">
        <v>228</v>
      </c>
      <c r="P1" s="9" t="s">
        <v>14</v>
      </c>
      <c r="T1" s="2" t="s">
        <v>229</v>
      </c>
      <c r="AI1" s="9" t="s">
        <v>14</v>
      </c>
      <c r="AM1" s="2" t="s">
        <v>230</v>
      </c>
      <c r="BB1" s="9" t="s">
        <v>14</v>
      </c>
    </row>
    <row r="2" customFormat="false" ht="15" hidden="false" customHeight="true" outlineLevel="0" collapsed="false">
      <c r="A2" s="10" t="s">
        <v>77</v>
      </c>
      <c r="T2" s="10" t="s">
        <v>77</v>
      </c>
      <c r="AM2" s="10" t="s">
        <v>78</v>
      </c>
    </row>
    <row r="5" customFormat="false" ht="26.25" hidden="false" customHeight="true" outlineLevel="0" collapsed="false">
      <c r="A5" s="11" t="s">
        <v>17</v>
      </c>
      <c r="B5" s="11" t="s">
        <v>3</v>
      </c>
      <c r="C5" s="11" t="s">
        <v>18</v>
      </c>
      <c r="D5" s="11" t="s">
        <v>5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2"/>
      <c r="T5" s="11" t="s">
        <v>17</v>
      </c>
      <c r="U5" s="11" t="s">
        <v>3</v>
      </c>
      <c r="V5" s="11" t="s">
        <v>18</v>
      </c>
      <c r="W5" s="11" t="s">
        <v>5</v>
      </c>
      <c r="X5" s="11" t="s">
        <v>19</v>
      </c>
      <c r="Y5" s="11" t="s">
        <v>20</v>
      </c>
      <c r="Z5" s="11" t="s">
        <v>21</v>
      </c>
      <c r="AA5" s="11" t="s">
        <v>22</v>
      </c>
      <c r="AB5" s="11" t="s">
        <v>23</v>
      </c>
      <c r="AC5" s="11" t="s">
        <v>24</v>
      </c>
      <c r="AD5" s="11" t="s">
        <v>25</v>
      </c>
      <c r="AE5" s="11" t="s">
        <v>26</v>
      </c>
      <c r="AF5" s="11" t="s">
        <v>27</v>
      </c>
      <c r="AG5" s="11" t="s">
        <v>28</v>
      </c>
      <c r="AH5" s="12"/>
      <c r="AM5" s="11" t="s">
        <v>17</v>
      </c>
      <c r="AN5" s="11" t="s">
        <v>3</v>
      </c>
      <c r="AO5" s="11" t="s">
        <v>18</v>
      </c>
      <c r="AP5" s="11" t="s">
        <v>5</v>
      </c>
      <c r="AQ5" s="11" t="s">
        <v>21</v>
      </c>
      <c r="AR5" s="11" t="s">
        <v>22</v>
      </c>
      <c r="AS5" s="11" t="s">
        <v>27</v>
      </c>
      <c r="AT5" s="11" t="s">
        <v>28</v>
      </c>
      <c r="BA5" s="12"/>
    </row>
    <row r="6" customFormat="false" ht="15" hidden="false" customHeight="true" outlineLevel="0" collapsed="false">
      <c r="A6" s="5" t="s">
        <v>231</v>
      </c>
      <c r="B6" s="5" t="s">
        <v>232</v>
      </c>
      <c r="C6" s="6" t="n">
        <f aca="false">IFERROR(ROUND(MAX(0,AVERAGE(F6,H6,J6,L6,N6)),1),"")</f>
        <v>54.1</v>
      </c>
      <c r="D6" s="7" t="n">
        <f aca="false">COUNT(E6,G6,I6,K6,M6)</f>
        <v>5</v>
      </c>
      <c r="E6" s="13" t="n">
        <v>57</v>
      </c>
      <c r="F6" s="6" t="n">
        <f aca="false">IF(E6="","",ROUND(((E6-Q$7)/Q$8)*Q$18+Q$17,1))</f>
        <v>57</v>
      </c>
      <c r="G6" s="13" t="n">
        <v>37</v>
      </c>
      <c r="H6" s="6" t="n">
        <f aca="false">IF(G6="","",ROUND(((G6-Q$9)/Q$10)*Q$18+Q$17,1))</f>
        <v>51.3</v>
      </c>
      <c r="I6" s="17" t="n">
        <v>29.6</v>
      </c>
      <c r="J6" s="6" t="n">
        <f aca="false">IF(I6="","",ROUND(((I6-Q$11)/Q$12)*Q$18+Q$17,1))</f>
        <v>45.1</v>
      </c>
      <c r="K6" s="13" t="n">
        <v>2662</v>
      </c>
      <c r="L6" s="6" t="n">
        <f aca="false">IF(K6="","",ROUND(((K6-Q$13)/Q$14)*Q$18+Q$17,1))</f>
        <v>57.7</v>
      </c>
      <c r="M6" s="13" t="n">
        <v>66</v>
      </c>
      <c r="N6" s="6" t="n">
        <f aca="false">IF(M6="","",ROUND(((M6-Q$15)/Q$16)*Q$18+Q$17,1))</f>
        <v>59.5</v>
      </c>
      <c r="O6" s="12"/>
      <c r="T6" s="5" t="s">
        <v>231</v>
      </c>
      <c r="U6" s="5" t="s">
        <v>232</v>
      </c>
      <c r="V6" s="6" t="n">
        <f aca="false">IFERROR(MIN(ROUND(MAX(0,AVERAGE(Y6,AA6,AC6,AE6,AG6)),1),54.1),"")</f>
        <v>52.7</v>
      </c>
      <c r="W6" s="7" t="n">
        <f aca="false">COUNT(X6,Z6,AB6,AD6,AF6)</f>
        <v>5</v>
      </c>
      <c r="X6" s="13" t="n">
        <v>54</v>
      </c>
      <c r="Y6" s="6" t="n">
        <f aca="false">IF(X6="","",ROUND(((X6-AJ$7)/AJ$8)*AJ$18+AJ$17,1))</f>
        <v>54</v>
      </c>
      <c r="Z6" s="13" t="n">
        <v>35</v>
      </c>
      <c r="AA6" s="6" t="n">
        <f aca="false">IF(Z6="","",ROUND(((Z6-AJ$9)/AJ$10)*AJ$18+AJ$17,1))</f>
        <v>52.6</v>
      </c>
      <c r="AB6" s="13" t="n">
        <v>28</v>
      </c>
      <c r="AC6" s="6" t="n">
        <f aca="false">IF(AB6="","",ROUND(((AB6-AJ$11)/AJ$12)*AJ$18+AJ$17,1))</f>
        <v>47.7</v>
      </c>
      <c r="AD6" s="17" t="n">
        <v>2521.9</v>
      </c>
      <c r="AE6" s="6" t="n">
        <f aca="false">IF(AD6="","",ROUND(((AD6-AJ$13)/AJ$14)*AJ$18+AJ$17,1))</f>
        <v>53.3</v>
      </c>
      <c r="AF6" s="13" t="n">
        <v>64</v>
      </c>
      <c r="AG6" s="6" t="n">
        <f aca="false">IF(AF6="","",ROUND(((AF6-AJ$15)/AJ$16)*AJ$18+AJ$17,1))</f>
        <v>56.1</v>
      </c>
      <c r="AH6" s="12"/>
      <c r="AM6" s="5" t="s">
        <v>231</v>
      </c>
      <c r="AN6" s="5" t="s">
        <v>232</v>
      </c>
      <c r="AO6" s="6" t="n">
        <f aca="false">IFERROR(ROUND(MAX(0,AVERAGE(AR6,AT6)),1),"")</f>
        <v>37.5</v>
      </c>
      <c r="AP6" s="7" t="n">
        <f aca="false">COUNT(AQ6,AS6)</f>
        <v>2</v>
      </c>
      <c r="AQ6" s="13" t="n">
        <v>33</v>
      </c>
      <c r="AR6" s="6" t="n">
        <f aca="false">IF(AQ6="","",ROUND(((AQ6-BC$7)/BC$8)*BC$12+BC$11,1))</f>
        <v>37.3</v>
      </c>
      <c r="AS6" s="13" t="n">
        <v>62</v>
      </c>
      <c r="AT6" s="6" t="n">
        <f aca="false">IF(AS6="","",ROUND(((AS6-BC$9)/BC$10)*BC$12+BC$11,1))</f>
        <v>37.6</v>
      </c>
      <c r="AU6" s="14"/>
      <c r="AV6" s="14"/>
      <c r="AW6" s="14"/>
      <c r="AX6" s="14"/>
      <c r="AY6" s="14"/>
      <c r="AZ6" s="14"/>
      <c r="BA6" s="12"/>
    </row>
    <row r="7" customFormat="false" ht="15" hidden="false" customHeight="true" outlineLevel="0" collapsed="false">
      <c r="A7" s="5" t="s">
        <v>231</v>
      </c>
      <c r="B7" s="5" t="s">
        <v>233</v>
      </c>
      <c r="C7" s="6" t="n">
        <f aca="false">IFERROR(ROUND(MAX(0,AVERAGE(F7,H7,J7,L7,N7)),1),"")</f>
        <v>44.7</v>
      </c>
      <c r="D7" s="7" t="n">
        <f aca="false">COUNT(E7,G7,I7,K7,M7)</f>
        <v>5</v>
      </c>
      <c r="E7" s="13" t="n">
        <v>52</v>
      </c>
      <c r="F7" s="6" t="n">
        <f aca="false">IF(E7="","",ROUND(((E7-Q$7)/Q$8)*Q$18+Q$17,1))</f>
        <v>52</v>
      </c>
      <c r="G7" s="13" t="n">
        <v>29</v>
      </c>
      <c r="H7" s="6" t="n">
        <f aca="false">IF(G7="","",ROUND(((G7-Q$9)/Q$10)*Q$18+Q$17,1))</f>
        <v>38.8</v>
      </c>
      <c r="I7" s="17" t="n">
        <v>27.9</v>
      </c>
      <c r="J7" s="6" t="n">
        <f aca="false">IF(I7="","",ROUND(((I7-Q$11)/Q$12)*Q$18+Q$17,1))</f>
        <v>41.8</v>
      </c>
      <c r="K7" s="13" t="n">
        <v>2192</v>
      </c>
      <c r="L7" s="6" t="n">
        <f aca="false">IF(K7="","",ROUND(((K7-Q$13)/Q$14)*Q$18+Q$17,1))</f>
        <v>46.8</v>
      </c>
      <c r="M7" s="13" t="n">
        <v>50</v>
      </c>
      <c r="N7" s="6" t="n">
        <f aca="false">IF(M7="","",ROUND(((M7-Q$15)/Q$16)*Q$18+Q$17,1))</f>
        <v>44</v>
      </c>
      <c r="O7" s="12"/>
      <c r="P7" s="9" t="s">
        <v>32</v>
      </c>
      <c r="Q7" s="15" t="n">
        <f aca="false">IFERROR(AVERAGE(E6:E400),"")</f>
        <v>13.34375</v>
      </c>
      <c r="T7" s="5" t="s">
        <v>231</v>
      </c>
      <c r="U7" s="5" t="s">
        <v>233</v>
      </c>
      <c r="V7" s="6" t="n">
        <f aca="false">IFERROR(MIN(ROUND(MAX(0,AVERAGE(Y7,AA7,AC7,AE7,AG7)),1),44.6),"")</f>
        <v>42.8</v>
      </c>
      <c r="W7" s="7" t="n">
        <f aca="false">COUNT(X7,Z7,AB7,AD7,AF7)</f>
        <v>5</v>
      </c>
      <c r="X7" s="13" t="n">
        <v>49</v>
      </c>
      <c r="Y7" s="6" t="n">
        <f aca="false">IF(X7="","",ROUND(((X7-AJ$7)/AJ$8)*AJ$18+AJ$17,1))</f>
        <v>49</v>
      </c>
      <c r="Z7" s="13" t="n">
        <v>26.5</v>
      </c>
      <c r="AA7" s="6" t="n">
        <f aca="false">IF(Z7="","",ROUND(((Z7-AJ$9)/AJ$10)*AJ$18+AJ$17,1))</f>
        <v>38.7</v>
      </c>
      <c r="AB7" s="13" t="n">
        <v>26.2</v>
      </c>
      <c r="AC7" s="6" t="n">
        <f aca="false">IF(AB7="","",ROUND(((AB7-AJ$11)/AJ$12)*AJ$18+AJ$17,1))</f>
        <v>44</v>
      </c>
      <c r="AD7" s="17" t="n">
        <v>2060.5</v>
      </c>
      <c r="AE7" s="6" t="n">
        <f aca="false">IF(AD7="","",ROUND(((AD7-AJ$13)/AJ$14)*AJ$18+AJ$17,1))</f>
        <v>42.6</v>
      </c>
      <c r="AF7" s="13" t="n">
        <v>47</v>
      </c>
      <c r="AG7" s="6" t="n">
        <f aca="false">IF(AF7="","",ROUND(((AF7-AJ$15)/AJ$16)*AJ$18+AJ$17,1))</f>
        <v>39.8</v>
      </c>
      <c r="AH7" s="12"/>
      <c r="AI7" s="9" t="s">
        <v>32</v>
      </c>
      <c r="AJ7" s="15" t="n">
        <f aca="false">IFERROR(AVERAGE(X6:X400),"")</f>
        <v>14.3076923076923</v>
      </c>
      <c r="AM7" s="5" t="s">
        <v>231</v>
      </c>
      <c r="AN7" s="5" t="s">
        <v>233</v>
      </c>
      <c r="AO7" s="6" t="n">
        <f aca="false">IFERROR(ROUND(MAX(0,AVERAGE(AR7,AT7)),1),"")</f>
        <v>24.8</v>
      </c>
      <c r="AP7" s="7" t="n">
        <f aca="false">COUNT(AQ7,AS7)</f>
        <v>2</v>
      </c>
      <c r="AQ7" s="13" t="n">
        <v>24</v>
      </c>
      <c r="AR7" s="6" t="n">
        <f aca="false">IF(AQ7="","",ROUND(((AQ7-BC$7)/BC$8)*BC$12+BC$11,1))</f>
        <v>26.4</v>
      </c>
      <c r="AS7" s="13" t="n">
        <v>45</v>
      </c>
      <c r="AT7" s="6" t="n">
        <f aca="false">IF(AS7="","",ROUND(((AS7-BC$9)/BC$10)*BC$12+BC$11,1))</f>
        <v>23.2</v>
      </c>
      <c r="AU7" s="14"/>
      <c r="AV7" s="14"/>
      <c r="AW7" s="14"/>
      <c r="AX7" s="14"/>
      <c r="AY7" s="14"/>
      <c r="AZ7" s="14"/>
      <c r="BA7" s="12"/>
      <c r="BB7" s="9" t="s">
        <v>36</v>
      </c>
      <c r="BC7" s="15" t="n">
        <f aca="false">IFERROR(AVERAGE(AQ6:AQ400),"")</f>
        <v>13.2</v>
      </c>
    </row>
    <row r="8" customFormat="false" ht="15" hidden="false" customHeight="true" outlineLevel="0" collapsed="false">
      <c r="A8" s="5" t="s">
        <v>231</v>
      </c>
      <c r="B8" s="5" t="s">
        <v>234</v>
      </c>
      <c r="C8" s="6" t="n">
        <f aca="false">IFERROR(ROUND(MAX(0,AVERAGE(F8,H8,J8,L8,N8)),1),"")</f>
        <v>32.4</v>
      </c>
      <c r="D8" s="7" t="n">
        <f aca="false">COUNT(E8,G8,I8,K8,M8)</f>
        <v>5</v>
      </c>
      <c r="E8" s="13" t="n">
        <v>40</v>
      </c>
      <c r="F8" s="6" t="n">
        <f aca="false">IF(E8="","",ROUND(((E8-Q$7)/Q$8)*Q$18+Q$17,1))</f>
        <v>40</v>
      </c>
      <c r="G8" s="13" t="n">
        <v>18</v>
      </c>
      <c r="H8" s="6" t="n">
        <f aca="false">IF(G8="","",ROUND(((G8-Q$9)/Q$10)*Q$18+Q$17,1))</f>
        <v>21.7</v>
      </c>
      <c r="I8" s="17" t="n">
        <v>21</v>
      </c>
      <c r="J8" s="6" t="n">
        <f aca="false">IF(I8="","",ROUND(((I8-Q$11)/Q$12)*Q$18+Q$17,1))</f>
        <v>28.3</v>
      </c>
      <c r="K8" s="13" t="n">
        <v>1834</v>
      </c>
      <c r="L8" s="6" t="n">
        <f aca="false">IF(K8="","",ROUND(((K8-Q$13)/Q$14)*Q$18+Q$17,1))</f>
        <v>38.4</v>
      </c>
      <c r="M8" s="13" t="n">
        <v>39</v>
      </c>
      <c r="N8" s="6" t="n">
        <f aca="false">IF(M8="","",ROUND(((M8-Q$15)/Q$16)*Q$18+Q$17,1))</f>
        <v>33.4</v>
      </c>
      <c r="O8" s="12"/>
      <c r="P8" s="9" t="s">
        <v>34</v>
      </c>
      <c r="Q8" s="16" t="n">
        <f aca="false">IFERROR(STDEVP(E6:E400),"")</f>
        <v>14.3975027674073</v>
      </c>
      <c r="T8" s="5" t="s">
        <v>231</v>
      </c>
      <c r="U8" s="5" t="s">
        <v>234</v>
      </c>
      <c r="V8" s="6" t="n">
        <f aca="false">IFERROR(MIN(ROUND(MAX(0,AVERAGE(Y8,AA8,AC8,AE8,AG8)),1),32.3),"")</f>
        <v>31</v>
      </c>
      <c r="W8" s="7" t="n">
        <f aca="false">COUNT(X8,Z8,AB8,AD8,AF8)</f>
        <v>5</v>
      </c>
      <c r="X8" s="13" t="n">
        <v>37</v>
      </c>
      <c r="Y8" s="6" t="n">
        <f aca="false">IF(X8="","",ROUND(((X8-AJ$7)/AJ$8)*AJ$18+AJ$17,1))</f>
        <v>37</v>
      </c>
      <c r="Z8" s="13" t="n">
        <v>16.5</v>
      </c>
      <c r="AA8" s="6" t="n">
        <f aca="false">IF(Z8="","",ROUND(((Z8-AJ$9)/AJ$10)*AJ$18+AJ$17,1))</f>
        <v>22.4</v>
      </c>
      <c r="AB8" s="13" t="n">
        <v>19.4</v>
      </c>
      <c r="AC8" s="6" t="n">
        <f aca="false">IF(AB8="","",ROUND(((AB8-AJ$11)/AJ$12)*AJ$18+AJ$17,1))</f>
        <v>30.1</v>
      </c>
      <c r="AD8" s="17" t="n">
        <v>1696.5</v>
      </c>
      <c r="AE8" s="6" t="n">
        <f aca="false">IF(AD8="","",ROUND(((AD8-AJ$13)/AJ$14)*AJ$18+AJ$17,1))</f>
        <v>34.2</v>
      </c>
      <c r="AF8" s="13" t="n">
        <v>38</v>
      </c>
      <c r="AG8" s="6" t="n">
        <f aca="false">IF(AF8="","",ROUND(((AF8-AJ$15)/AJ$16)*AJ$18+AJ$17,1))</f>
        <v>31.1</v>
      </c>
      <c r="AH8" s="12"/>
      <c r="AI8" s="9" t="s">
        <v>34</v>
      </c>
      <c r="AJ8" s="16" t="n">
        <f aca="false">IFERROR(STDEVP(X6:X400),"")</f>
        <v>14.004859680645</v>
      </c>
      <c r="AM8" s="5" t="s">
        <v>231</v>
      </c>
      <c r="AN8" s="5" t="s">
        <v>234</v>
      </c>
      <c r="AO8" s="6" t="n">
        <f aca="false">IFERROR(ROUND(MAX(0,AVERAGE(AR8,AT8)),1),"")</f>
        <v>15.9</v>
      </c>
      <c r="AP8" s="7" t="n">
        <f aca="false">COUNT(AQ8,AS8)</f>
        <v>2</v>
      </c>
      <c r="AQ8" s="13" t="n">
        <v>15</v>
      </c>
      <c r="AR8" s="6" t="n">
        <f aca="false">IF(AQ8="","",ROUND(((AQ8-BC$7)/BC$8)*BC$12+BC$11,1))</f>
        <v>15.4</v>
      </c>
      <c r="AS8" s="13" t="n">
        <v>37</v>
      </c>
      <c r="AT8" s="6" t="n">
        <f aca="false">IF(AS8="","",ROUND(((AS8-BC$9)/BC$10)*BC$12+BC$11,1))</f>
        <v>16.4</v>
      </c>
      <c r="AU8" s="14"/>
      <c r="AV8" s="14"/>
      <c r="AW8" s="14"/>
      <c r="AX8" s="14"/>
      <c r="AY8" s="14"/>
      <c r="AZ8" s="14"/>
      <c r="BA8" s="12"/>
      <c r="BB8" s="9" t="s">
        <v>38</v>
      </c>
      <c r="BC8" s="16" t="n">
        <f aca="false">IFERROR(STDEVP(AQ6:AQ400),"")</f>
        <v>8.49470423263812</v>
      </c>
    </row>
    <row r="9" customFormat="false" ht="15" hidden="false" customHeight="true" outlineLevel="0" collapsed="false">
      <c r="A9" s="5" t="s">
        <v>231</v>
      </c>
      <c r="B9" s="5" t="s">
        <v>235</v>
      </c>
      <c r="C9" s="6" t="n">
        <f aca="false">IFERROR(ROUND(MAX(0,AVERAGE(F9,H9,J9,L9,N9)),1),"")</f>
        <v>28.2</v>
      </c>
      <c r="D9" s="7" t="n">
        <f aca="false">COUNT(E9,G9,I9,K9,M9)</f>
        <v>5</v>
      </c>
      <c r="E9" s="13" t="n">
        <v>29</v>
      </c>
      <c r="F9" s="6" t="n">
        <f aca="false">IF(E9="","",ROUND(((E9-Q$7)/Q$8)*Q$18+Q$17,1))</f>
        <v>29</v>
      </c>
      <c r="G9" s="13" t="n">
        <v>18</v>
      </c>
      <c r="H9" s="6" t="n">
        <f aca="false">IF(G9="","",ROUND(((G9-Q$9)/Q$10)*Q$18+Q$17,1))</f>
        <v>21.7</v>
      </c>
      <c r="I9" s="17" t="n">
        <v>17.6</v>
      </c>
      <c r="J9" s="6" t="n">
        <f aca="false">IF(I9="","",ROUND(((I9-Q$11)/Q$12)*Q$18+Q$17,1))</f>
        <v>21.7</v>
      </c>
      <c r="K9" s="13" t="n">
        <v>1691</v>
      </c>
      <c r="L9" s="6" t="n">
        <f aca="false">IF(K9="","",ROUND(((K9-Q$13)/Q$14)*Q$18+Q$17,1))</f>
        <v>35.1</v>
      </c>
      <c r="M9" s="13" t="n">
        <v>39</v>
      </c>
      <c r="N9" s="6" t="n">
        <f aca="false">IF(M9="","",ROUND(((M9-Q$15)/Q$16)*Q$18+Q$17,1))</f>
        <v>33.4</v>
      </c>
      <c r="O9" s="12"/>
      <c r="P9" s="9" t="s">
        <v>36</v>
      </c>
      <c r="Q9" s="15" t="n">
        <f aca="false">IFERROR(AVERAGE(G6:G400),"")</f>
        <v>12.6666666666667</v>
      </c>
      <c r="T9" s="5" t="s">
        <v>231</v>
      </c>
      <c r="U9" s="5" t="s">
        <v>235</v>
      </c>
      <c r="V9" s="6" t="n">
        <f aca="false">IFERROR(MIN(ROUND(MAX(0,AVERAGE(Y9,AA9,AC9,AE9,AG9)),1),28.1),"")</f>
        <v>26.5</v>
      </c>
      <c r="W9" s="7" t="n">
        <f aca="false">COUNT(X9,Z9,AB9,AD9,AF9)</f>
        <v>5</v>
      </c>
      <c r="X9" s="13" t="n">
        <v>26</v>
      </c>
      <c r="Y9" s="6" t="n">
        <f aca="false">IF(X9="","",ROUND(((X9-AJ$7)/AJ$8)*AJ$18+AJ$17,1))</f>
        <v>26</v>
      </c>
      <c r="Z9" s="13" t="n">
        <v>16</v>
      </c>
      <c r="AA9" s="6" t="n">
        <f aca="false">IF(Z9="","",ROUND(((Z9-AJ$9)/AJ$10)*AJ$18+AJ$17,1))</f>
        <v>21.5</v>
      </c>
      <c r="AB9" s="13" t="n">
        <v>15.8</v>
      </c>
      <c r="AC9" s="6" t="n">
        <f aca="false">IF(AB9="","",ROUND(((AB9-AJ$11)/AJ$12)*AJ$18+AJ$17,1))</f>
        <v>22.8</v>
      </c>
      <c r="AD9" s="17" t="n">
        <v>1516.1</v>
      </c>
      <c r="AE9" s="6" t="n">
        <f aca="false">IF(AD9="","",ROUND(((AD9-AJ$13)/AJ$14)*AJ$18+AJ$17,1))</f>
        <v>30</v>
      </c>
      <c r="AF9" s="13" t="n">
        <v>39</v>
      </c>
      <c r="AG9" s="6" t="n">
        <f aca="false">IF(AF9="","",ROUND(((AF9-AJ$15)/AJ$16)*AJ$18+AJ$17,1))</f>
        <v>32.1</v>
      </c>
      <c r="AH9" s="12"/>
      <c r="AI9" s="9" t="s">
        <v>36</v>
      </c>
      <c r="AJ9" s="15" t="n">
        <f aca="false">IFERROR(AVERAGE(Z6:Z400),"")</f>
        <v>11.5733333333333</v>
      </c>
      <c r="AM9" s="5" t="s">
        <v>231</v>
      </c>
      <c r="AN9" s="5" t="s">
        <v>235</v>
      </c>
      <c r="AO9" s="6" t="n">
        <f aca="false">IFERROR(ROUND(MAX(0,AVERAGE(AR9,AT9)),1),"")</f>
        <v>15.8</v>
      </c>
      <c r="AP9" s="7" t="n">
        <f aca="false">COUNT(AQ9,AS9)</f>
        <v>2</v>
      </c>
      <c r="AQ9" s="13" t="n">
        <v>14</v>
      </c>
      <c r="AR9" s="6" t="n">
        <f aca="false">IF(AQ9="","",ROUND(((AQ9-BC$7)/BC$8)*BC$12+BC$11,1))</f>
        <v>14.2</v>
      </c>
      <c r="AS9" s="13" t="n">
        <v>38</v>
      </c>
      <c r="AT9" s="6" t="n">
        <f aca="false">IF(AS9="","",ROUND(((AS9-BC$9)/BC$10)*BC$12+BC$11,1))</f>
        <v>17.3</v>
      </c>
      <c r="AU9" s="14"/>
      <c r="AV9" s="14"/>
      <c r="AW9" s="14"/>
      <c r="AX9" s="14"/>
      <c r="AY9" s="14"/>
      <c r="AZ9" s="14"/>
      <c r="BA9" s="12"/>
      <c r="BB9" s="9" t="s">
        <v>45</v>
      </c>
      <c r="BC9" s="15" t="n">
        <f aca="false">IFERROR(AVERAGE(AS6:AS400),"")</f>
        <v>33.2</v>
      </c>
    </row>
    <row r="10" customFormat="false" ht="15" hidden="false" customHeight="true" outlineLevel="0" collapsed="false">
      <c r="A10" s="5" t="s">
        <v>231</v>
      </c>
      <c r="B10" s="5" t="s">
        <v>236</v>
      </c>
      <c r="C10" s="6" t="n">
        <f aca="false">IFERROR(ROUND(MAX(0,AVERAGE(F10,H10,J10,L10,N10)),1),"")</f>
        <v>23.7</v>
      </c>
      <c r="D10" s="7" t="n">
        <f aca="false">COUNT(E10,G10,I10,K10,M10)</f>
        <v>5</v>
      </c>
      <c r="E10" s="13" t="n">
        <v>28</v>
      </c>
      <c r="F10" s="6" t="n">
        <f aca="false">IF(E10="","",ROUND(((E10-Q$7)/Q$8)*Q$18+Q$17,1))</f>
        <v>28</v>
      </c>
      <c r="G10" s="13" t="n">
        <v>13</v>
      </c>
      <c r="H10" s="6" t="n">
        <f aca="false">IF(G10="","",ROUND(((G10-Q$9)/Q$10)*Q$18+Q$17,1))</f>
        <v>13.9</v>
      </c>
      <c r="I10" s="17" t="n">
        <v>17</v>
      </c>
      <c r="J10" s="6" t="n">
        <f aca="false">IF(I10="","",ROUND(((I10-Q$11)/Q$12)*Q$18+Q$17,1))</f>
        <v>20.5</v>
      </c>
      <c r="K10" s="13" t="n">
        <v>1456</v>
      </c>
      <c r="L10" s="6" t="n">
        <f aca="false">IF(K10="","",ROUND(((K10-Q$13)/Q$14)*Q$18+Q$17,1))</f>
        <v>29.6</v>
      </c>
      <c r="M10" s="13" t="n">
        <v>32</v>
      </c>
      <c r="N10" s="6" t="n">
        <f aca="false">IF(M10="","",ROUND(((M10-Q$15)/Q$16)*Q$18+Q$17,1))</f>
        <v>26.7</v>
      </c>
      <c r="O10" s="12"/>
      <c r="P10" s="9" t="s">
        <v>38</v>
      </c>
      <c r="Q10" s="16" t="n">
        <f aca="false">IFERROR(STDEVP(G6:G400),"")</f>
        <v>9.22797678559908</v>
      </c>
      <c r="T10" s="5" t="s">
        <v>231</v>
      </c>
      <c r="U10" s="5" t="s">
        <v>236</v>
      </c>
      <c r="V10" s="6" t="n">
        <f aca="false">IFERROR(MIN(ROUND(MAX(0,AVERAGE(Y10,AA10,AC10,AE10,AG10)),1),23.7),"")</f>
        <v>22</v>
      </c>
      <c r="W10" s="7" t="n">
        <f aca="false">COUNT(X10,Z10,AB10,AD10,AF10)</f>
        <v>5</v>
      </c>
      <c r="X10" s="13" t="n">
        <v>25</v>
      </c>
      <c r="Y10" s="6" t="n">
        <f aca="false">IF(X10="","",ROUND(((X10-AJ$7)/AJ$8)*AJ$18+AJ$17,1))</f>
        <v>25</v>
      </c>
      <c r="Z10" s="13" t="n">
        <v>11.5</v>
      </c>
      <c r="AA10" s="6" t="n">
        <f aca="false">IF(Z10="","",ROUND(((Z10-AJ$9)/AJ$10)*AJ$18+AJ$17,1))</f>
        <v>14.2</v>
      </c>
      <c r="AB10" s="13" t="n">
        <v>15.2</v>
      </c>
      <c r="AC10" s="6" t="n">
        <f aca="false">IF(AB10="","",ROUND(((AB10-AJ$11)/AJ$12)*AJ$18+AJ$17,1))</f>
        <v>21.6</v>
      </c>
      <c r="AD10" s="17" t="n">
        <v>1300</v>
      </c>
      <c r="AE10" s="6" t="n">
        <f aca="false">IF(AD10="","",ROUND(((AD10-AJ$13)/AJ$14)*AJ$18+AJ$17,1))</f>
        <v>25</v>
      </c>
      <c r="AF10" s="13" t="n">
        <v>31</v>
      </c>
      <c r="AG10" s="6" t="n">
        <f aca="false">IF(AF10="","",ROUND(((AF10-AJ$15)/AJ$16)*AJ$18+AJ$17,1))</f>
        <v>24.4</v>
      </c>
      <c r="AH10" s="12"/>
      <c r="AI10" s="9" t="s">
        <v>38</v>
      </c>
      <c r="AJ10" s="16" t="n">
        <f aca="false">IFERROR(STDEVP(Z6:Z400),"")</f>
        <v>8.56445885947008</v>
      </c>
      <c r="AM10" s="5" t="s">
        <v>231</v>
      </c>
      <c r="AN10" s="5" t="s">
        <v>236</v>
      </c>
      <c r="AO10" s="6" t="n">
        <f aca="false">IFERROR(ROUND(MAX(0,AVERAGE(AR10,AT10)),1),"")</f>
        <v>9.9</v>
      </c>
      <c r="AP10" s="7" t="n">
        <f aca="false">COUNT(AQ10,AS10)</f>
        <v>2</v>
      </c>
      <c r="AQ10" s="13" t="n">
        <v>10</v>
      </c>
      <c r="AR10" s="6" t="n">
        <f aca="false">IF(AQ10="","",ROUND(((AQ10-BC$7)/BC$8)*BC$12+BC$11,1))</f>
        <v>9.3</v>
      </c>
      <c r="AS10" s="13" t="n">
        <v>30</v>
      </c>
      <c r="AT10" s="6" t="n">
        <f aca="false">IF(AS10="","",ROUND(((AS10-BC$9)/BC$10)*BC$12+BC$11,1))</f>
        <v>10.5</v>
      </c>
      <c r="AU10" s="14"/>
      <c r="AV10" s="14"/>
      <c r="AW10" s="14"/>
      <c r="AX10" s="14"/>
      <c r="AY10" s="14"/>
      <c r="AZ10" s="14"/>
      <c r="BA10" s="12"/>
      <c r="BB10" s="9" t="s">
        <v>48</v>
      </c>
      <c r="BC10" s="16" t="n">
        <f aca="false">IFERROR(STDEVP(AS6:AS400),"")</f>
        <v>12.2294725969684</v>
      </c>
    </row>
    <row r="11" customFormat="false" ht="15" hidden="false" customHeight="true" outlineLevel="0" collapsed="false">
      <c r="A11" s="5" t="s">
        <v>231</v>
      </c>
      <c r="B11" s="5" t="s">
        <v>237</v>
      </c>
      <c r="C11" s="6" t="n">
        <f aca="false">IFERROR(ROUND(MAX(0,AVERAGE(F11,H11,J11,L11,N11)),1),"")</f>
        <v>21.6</v>
      </c>
      <c r="D11" s="7" t="n">
        <f aca="false">COUNT(E11,G11,I11,K11,M11)</f>
        <v>5</v>
      </c>
      <c r="E11" s="13" t="n">
        <v>27</v>
      </c>
      <c r="F11" s="6" t="n">
        <f aca="false">IF(E11="","",ROUND(((E11-Q$7)/Q$8)*Q$18+Q$17,1))</f>
        <v>27</v>
      </c>
      <c r="G11" s="13" t="n">
        <v>15</v>
      </c>
      <c r="H11" s="6" t="n">
        <f aca="false">IF(G11="","",ROUND(((G11-Q$9)/Q$10)*Q$18+Q$17,1))</f>
        <v>17</v>
      </c>
      <c r="I11" s="17" t="n">
        <v>14.3</v>
      </c>
      <c r="J11" s="6" t="n">
        <f aca="false">IF(I11="","",ROUND(((I11-Q$11)/Q$12)*Q$18+Q$17,1))</f>
        <v>15.3</v>
      </c>
      <c r="K11" s="13" t="n">
        <v>1288</v>
      </c>
      <c r="L11" s="6" t="n">
        <f aca="false">IF(K11="","",ROUND(((K11-Q$13)/Q$14)*Q$18+Q$17,1))</f>
        <v>25.7</v>
      </c>
      <c r="M11" s="13" t="n">
        <v>28</v>
      </c>
      <c r="N11" s="6" t="n">
        <f aca="false">IF(M11="","",ROUND(((M11-Q$15)/Q$16)*Q$18+Q$17,1))</f>
        <v>22.8</v>
      </c>
      <c r="O11" s="12"/>
      <c r="P11" s="9" t="s">
        <v>40</v>
      </c>
      <c r="Q11" s="15" t="n">
        <f aca="false">IFERROR(AVERAGE(I6:I400),"")</f>
        <v>13.3</v>
      </c>
      <c r="T11" s="5" t="s">
        <v>231</v>
      </c>
      <c r="U11" s="5" t="s">
        <v>237</v>
      </c>
      <c r="V11" s="6" t="n">
        <f aca="false">IFERROR(MIN(ROUND(MAX(0,AVERAGE(Y11,AA11,AC11,AE11,AG11)),1),21.5),"")</f>
        <v>19.7</v>
      </c>
      <c r="W11" s="7" t="n">
        <f aca="false">COUNT(X11,Z11,AB11,AD11,AF11)</f>
        <v>5</v>
      </c>
      <c r="X11" s="13" t="n">
        <v>24</v>
      </c>
      <c r="Y11" s="6" t="n">
        <f aca="false">IF(X11="","",ROUND(((X11-AJ$7)/AJ$8)*AJ$18+AJ$17,1))</f>
        <v>24</v>
      </c>
      <c r="Z11" s="13" t="n">
        <v>12.5</v>
      </c>
      <c r="AA11" s="6" t="n">
        <f aca="false">IF(Z11="","",ROUND(((Z11-AJ$9)/AJ$10)*AJ$18+AJ$17,1))</f>
        <v>15.8</v>
      </c>
      <c r="AB11" s="13" t="n">
        <v>12.7</v>
      </c>
      <c r="AC11" s="6" t="n">
        <f aca="false">IF(AB11="","",ROUND(((AB11-AJ$11)/AJ$12)*AJ$18+AJ$17,1))</f>
        <v>16.5</v>
      </c>
      <c r="AD11" s="17" t="n">
        <v>1144.9</v>
      </c>
      <c r="AE11" s="6" t="n">
        <f aca="false">IF(AD11="","",ROUND(((AD11-AJ$13)/AJ$14)*AJ$18+AJ$17,1))</f>
        <v>21.4</v>
      </c>
      <c r="AF11" s="13" t="n">
        <v>27</v>
      </c>
      <c r="AG11" s="6" t="n">
        <f aca="false">IF(AF11="","",ROUND(((AF11-AJ$15)/AJ$16)*AJ$18+AJ$17,1))</f>
        <v>20.6</v>
      </c>
      <c r="AH11" s="12"/>
      <c r="AI11" s="9" t="s">
        <v>40</v>
      </c>
      <c r="AJ11" s="15" t="n">
        <f aca="false">IFERROR(AVERAGE(AB6:AB400),"")</f>
        <v>11.645</v>
      </c>
      <c r="AM11" s="5" t="s">
        <v>231</v>
      </c>
      <c r="AN11" s="5" t="s">
        <v>237</v>
      </c>
      <c r="AO11" s="6" t="n">
        <f aca="false">IFERROR(ROUND(MAX(0,AVERAGE(AR11,AT11)),1),"")</f>
        <v>8.2</v>
      </c>
      <c r="AP11" s="7" t="n">
        <f aca="false">COUNT(AQ11,AS11)</f>
        <v>2</v>
      </c>
      <c r="AQ11" s="13" t="n">
        <v>10</v>
      </c>
      <c r="AR11" s="6" t="n">
        <f aca="false">IF(AQ11="","",ROUND(((AQ11-BC$7)/BC$8)*BC$12+BC$11,1))</f>
        <v>9.3</v>
      </c>
      <c r="AS11" s="13" t="n">
        <v>26</v>
      </c>
      <c r="AT11" s="6" t="n">
        <f aca="false">IF(AS11="","",ROUND(((AS11-BC$9)/BC$10)*BC$12+BC$11,1))</f>
        <v>7.1</v>
      </c>
      <c r="AU11" s="14"/>
      <c r="AV11" s="14"/>
      <c r="AW11" s="14"/>
      <c r="AX11" s="14"/>
      <c r="AY11" s="14"/>
      <c r="AZ11" s="14"/>
      <c r="BA11" s="12"/>
      <c r="BB11" s="9" t="s">
        <v>50</v>
      </c>
      <c r="BC11" s="15" t="n">
        <f aca="false">MEDIAN(BC$7,BC$9,11.45)</f>
        <v>13.2</v>
      </c>
    </row>
    <row r="12" customFormat="false" ht="15" hidden="false" customHeight="true" outlineLevel="0" collapsed="false">
      <c r="A12" s="5" t="s">
        <v>231</v>
      </c>
      <c r="B12" s="5" t="s">
        <v>238</v>
      </c>
      <c r="C12" s="6" t="n">
        <f aca="false">IFERROR(ROUND(MAX(0,AVERAGE(F12,H12,J12,L12,N12)),1),"")</f>
        <v>19.7</v>
      </c>
      <c r="D12" s="7" t="n">
        <f aca="false">COUNT(E12,G12,I12,K12,M12)</f>
        <v>4</v>
      </c>
      <c r="E12" s="13" t="n">
        <v>20</v>
      </c>
      <c r="F12" s="6" t="n">
        <f aca="false">IF(E12="","",ROUND(((E12-Q$7)/Q$8)*Q$18+Q$17,1))</f>
        <v>20</v>
      </c>
      <c r="G12" s="13"/>
      <c r="H12" s="6" t="str">
        <f aca="false">IF(G12="","",ROUND(((G12-Q$9)/Q$10)*Q$18+Q$17,1))</f>
        <v/>
      </c>
      <c r="I12" s="17" t="n">
        <v>13.5</v>
      </c>
      <c r="J12" s="6" t="n">
        <f aca="false">IF(I12="","",ROUND(((I12-Q$11)/Q$12)*Q$18+Q$17,1))</f>
        <v>13.7</v>
      </c>
      <c r="K12" s="13" t="n">
        <v>1269</v>
      </c>
      <c r="L12" s="6" t="n">
        <f aca="false">IF(K12="","",ROUND(((K12-Q$13)/Q$14)*Q$18+Q$17,1))</f>
        <v>25.2</v>
      </c>
      <c r="M12" s="13" t="n">
        <v>25</v>
      </c>
      <c r="N12" s="6" t="n">
        <f aca="false">IF(M12="","",ROUND(((M12-Q$15)/Q$16)*Q$18+Q$17,1))</f>
        <v>19.9</v>
      </c>
      <c r="O12" s="12"/>
      <c r="P12" s="9" t="s">
        <v>42</v>
      </c>
      <c r="Q12" s="16" t="n">
        <f aca="false">IFERROR(STDEVP(I6:I400),"")</f>
        <v>7.39857343606785</v>
      </c>
      <c r="T12" s="5" t="s">
        <v>231</v>
      </c>
      <c r="U12" s="5" t="s">
        <v>238</v>
      </c>
      <c r="V12" s="6" t="n">
        <f aca="false">IFERROR(MIN(ROUND(MAX(0,AVERAGE(Y12,AA12,AC12,AE12,AG12)),1),19.7),"")</f>
        <v>19</v>
      </c>
      <c r="W12" s="7" t="n">
        <f aca="false">COUNT(X12,Z12,AB12,AD12,AF12)</f>
        <v>4</v>
      </c>
      <c r="X12" s="13" t="n">
        <v>18</v>
      </c>
      <c r="Y12" s="6" t="n">
        <f aca="false">IF(X12="","",ROUND(((X12-AJ$7)/AJ$8)*AJ$18+AJ$17,1))</f>
        <v>18</v>
      </c>
      <c r="Z12" s="13"/>
      <c r="AA12" s="6" t="str">
        <f aca="false">IF(Z12="","",ROUND(((Z12-AJ$9)/AJ$10)*AJ$18+AJ$17,1))</f>
        <v/>
      </c>
      <c r="AB12" s="13" t="n">
        <v>13</v>
      </c>
      <c r="AC12" s="6" t="n">
        <f aca="false">IF(AB12="","",ROUND(((AB12-AJ$11)/AJ$12)*AJ$18+AJ$17,1))</f>
        <v>17.1</v>
      </c>
      <c r="AD12" s="17" t="n">
        <v>1218.2</v>
      </c>
      <c r="AE12" s="6" t="n">
        <f aca="false">IF(AD12="","",ROUND(((AD12-AJ$13)/AJ$14)*AJ$18+AJ$17,1))</f>
        <v>23.1</v>
      </c>
      <c r="AF12" s="13" t="n">
        <v>24</v>
      </c>
      <c r="AG12" s="6" t="n">
        <f aca="false">IF(AF12="","",ROUND(((AF12-AJ$15)/AJ$16)*AJ$18+AJ$17,1))</f>
        <v>17.7</v>
      </c>
      <c r="AH12" s="12"/>
      <c r="AI12" s="9" t="s">
        <v>42</v>
      </c>
      <c r="AJ12" s="16" t="n">
        <f aca="false">IFERROR(STDEVP(AB6:AB400),"")</f>
        <v>6.86450835821474</v>
      </c>
      <c r="AM12" s="5" t="s">
        <v>231</v>
      </c>
      <c r="AN12" s="5" t="s">
        <v>239</v>
      </c>
      <c r="AO12" s="6" t="n">
        <f aca="false">IFERROR(ROUND(MAX(0,AVERAGE(AR12,AT12)),1),"")</f>
        <v>7.6</v>
      </c>
      <c r="AP12" s="7" t="n">
        <f aca="false">COUNT(AQ12,AS12)</f>
        <v>2</v>
      </c>
      <c r="AQ12" s="13" t="n">
        <v>9</v>
      </c>
      <c r="AR12" s="6" t="n">
        <f aca="false">IF(AQ12="","",ROUND(((AQ12-BC$7)/BC$8)*BC$12+BC$11,1))</f>
        <v>8.1</v>
      </c>
      <c r="AS12" s="13" t="n">
        <v>26</v>
      </c>
      <c r="AT12" s="6" t="n">
        <f aca="false">IF(AS12="","",ROUND(((AS12-BC$9)/BC$10)*BC$12+BC$11,1))</f>
        <v>7.1</v>
      </c>
      <c r="AU12" s="14"/>
      <c r="AV12" s="14"/>
      <c r="AW12" s="14"/>
      <c r="AX12" s="14"/>
      <c r="AY12" s="14"/>
      <c r="AZ12" s="14"/>
      <c r="BA12" s="12"/>
      <c r="BB12" s="9" t="s">
        <v>52</v>
      </c>
      <c r="BC12" s="16" t="n">
        <f aca="false">MEDIAN(BC$8,BC$10,10.35)</f>
        <v>10.35</v>
      </c>
    </row>
    <row r="13" customFormat="false" ht="15" hidden="false" customHeight="true" outlineLevel="0" collapsed="false">
      <c r="A13" s="5" t="s">
        <v>231</v>
      </c>
      <c r="B13" s="5" t="s">
        <v>240</v>
      </c>
      <c r="C13" s="6" t="n">
        <f aca="false">IFERROR(ROUND(MAX(0,AVERAGE(F13,H13,J13,L13,N13)),1),"")</f>
        <v>18.3</v>
      </c>
      <c r="D13" s="7" t="n">
        <f aca="false">COUNT(E13,G13,I13,K13,M13)</f>
        <v>5</v>
      </c>
      <c r="E13" s="13" t="n">
        <v>23</v>
      </c>
      <c r="F13" s="6" t="n">
        <f aca="false">IF(E13="","",ROUND(((E13-Q$7)/Q$8)*Q$18+Q$17,1))</f>
        <v>23</v>
      </c>
      <c r="G13" s="13" t="n">
        <v>8</v>
      </c>
      <c r="H13" s="6" t="n">
        <f aca="false">IF(G13="","",ROUND(((G13-Q$9)/Q$10)*Q$18+Q$17,1))</f>
        <v>6.1</v>
      </c>
      <c r="I13" s="17" t="n">
        <v>16.6</v>
      </c>
      <c r="J13" s="6" t="n">
        <f aca="false">IF(I13="","",ROUND(((I13-Q$11)/Q$12)*Q$18+Q$17,1))</f>
        <v>19.8</v>
      </c>
      <c r="K13" s="13" t="n">
        <v>1044</v>
      </c>
      <c r="L13" s="6" t="n">
        <f aca="false">IF(K13="","",ROUND(((K13-Q$13)/Q$14)*Q$18+Q$17,1))</f>
        <v>20</v>
      </c>
      <c r="M13" s="13" t="n">
        <v>28</v>
      </c>
      <c r="N13" s="6" t="n">
        <f aca="false">IF(M13="","",ROUND(((M13-Q$15)/Q$16)*Q$18+Q$17,1))</f>
        <v>22.8</v>
      </c>
      <c r="O13" s="12"/>
      <c r="P13" s="9" t="s">
        <v>44</v>
      </c>
      <c r="Q13" s="15" t="n">
        <f aca="false">IFERROR(AVERAGE(K6:K400),"")</f>
        <v>758.75</v>
      </c>
      <c r="T13" s="5" t="s">
        <v>231</v>
      </c>
      <c r="U13" s="5" t="s">
        <v>240</v>
      </c>
      <c r="V13" s="6" t="n">
        <f aca="false">IFERROR(MIN(ROUND(MAX(0,AVERAGE(Y13,AA13,AC13,AE13,AG13)),1),18.3),"")</f>
        <v>17.6</v>
      </c>
      <c r="W13" s="7" t="n">
        <f aca="false">COUNT(X13,Z13,AB13,AD13,AF13)</f>
        <v>5</v>
      </c>
      <c r="X13" s="13" t="n">
        <v>21</v>
      </c>
      <c r="Y13" s="6" t="n">
        <f aca="false">IF(X13="","",ROUND(((X13-AJ$7)/AJ$8)*AJ$18+AJ$17,1))</f>
        <v>21</v>
      </c>
      <c r="Z13" s="13" t="n">
        <v>7</v>
      </c>
      <c r="AA13" s="6" t="n">
        <f aca="false">IF(Z13="","",ROUND(((Z13-AJ$9)/AJ$10)*AJ$18+AJ$17,1))</f>
        <v>6.8</v>
      </c>
      <c r="AB13" s="13" t="n">
        <v>15.2</v>
      </c>
      <c r="AC13" s="6" t="n">
        <f aca="false">IF(AB13="","",ROUND(((AB13-AJ$11)/AJ$12)*AJ$18+AJ$17,1))</f>
        <v>21.6</v>
      </c>
      <c r="AD13" s="17" t="n">
        <v>953.2</v>
      </c>
      <c r="AE13" s="6" t="n">
        <f aca="false">IF(AD13="","",ROUND(((AD13-AJ$13)/AJ$14)*AJ$18+AJ$17,1))</f>
        <v>17</v>
      </c>
      <c r="AF13" s="13" t="n">
        <v>28</v>
      </c>
      <c r="AG13" s="6" t="n">
        <f aca="false">IF(AF13="","",ROUND(((AF13-AJ$15)/AJ$16)*AJ$18+AJ$17,1))</f>
        <v>21.5</v>
      </c>
      <c r="AH13" s="12"/>
      <c r="AI13" s="9" t="s">
        <v>44</v>
      </c>
      <c r="AJ13" s="15" t="n">
        <f aca="false">IFERROR(AVERAGE(AD6:AD400),"")</f>
        <v>837.091666666667</v>
      </c>
      <c r="AM13" s="5" t="s">
        <v>231</v>
      </c>
      <c r="AN13" s="5" t="s">
        <v>240</v>
      </c>
      <c r="AO13" s="6" t="n">
        <f aca="false">IFERROR(ROUND(MAX(0,AVERAGE(AR13,AT13)),1),"")</f>
        <v>6.6</v>
      </c>
      <c r="AP13" s="7" t="n">
        <f aca="false">COUNT(AQ13,AS13)</f>
        <v>2</v>
      </c>
      <c r="AQ13" s="13" t="n">
        <v>6</v>
      </c>
      <c r="AR13" s="6" t="n">
        <f aca="false">IF(AQ13="","",ROUND(((AQ13-BC$7)/BC$8)*BC$12+BC$11,1))</f>
        <v>4.4</v>
      </c>
      <c r="AS13" s="13" t="n">
        <v>28</v>
      </c>
      <c r="AT13" s="6" t="n">
        <f aca="false">IF(AS13="","",ROUND(((AS13-BC$9)/BC$10)*BC$12+BC$11,1))</f>
        <v>8.8</v>
      </c>
      <c r="AU13" s="14"/>
      <c r="AV13" s="14"/>
      <c r="AW13" s="14"/>
      <c r="AX13" s="14"/>
      <c r="AY13" s="14"/>
      <c r="AZ13" s="14"/>
      <c r="BA13" s="12"/>
    </row>
    <row r="14" customFormat="false" ht="15" hidden="false" customHeight="true" outlineLevel="0" collapsed="false">
      <c r="A14" s="5" t="s">
        <v>231</v>
      </c>
      <c r="B14" s="5" t="s">
        <v>239</v>
      </c>
      <c r="C14" s="6" t="n">
        <f aca="false">IFERROR(ROUND(MAX(0,AVERAGE(F14,H14,J14,L14,N14)),1),"")</f>
        <v>17.2</v>
      </c>
      <c r="D14" s="7" t="n">
        <f aca="false">COUNT(E14,G14,I14,K14,M14)</f>
        <v>5</v>
      </c>
      <c r="E14" s="13" t="n">
        <v>19</v>
      </c>
      <c r="F14" s="6" t="n">
        <f aca="false">IF(E14="","",ROUND(((E14-Q$7)/Q$8)*Q$18+Q$17,1))</f>
        <v>19</v>
      </c>
      <c r="G14" s="13" t="n">
        <v>11</v>
      </c>
      <c r="H14" s="6" t="n">
        <f aca="false">IF(G14="","",ROUND(((G14-Q$9)/Q$10)*Q$18+Q$17,1))</f>
        <v>10.7</v>
      </c>
      <c r="I14" s="17" t="n">
        <v>13.2</v>
      </c>
      <c r="J14" s="6" t="n">
        <f aca="false">IF(I14="","",ROUND(((I14-Q$11)/Q$12)*Q$18+Q$17,1))</f>
        <v>13.1</v>
      </c>
      <c r="K14" s="13" t="n">
        <v>1070</v>
      </c>
      <c r="L14" s="6" t="n">
        <f aca="false">IF(K14="","",ROUND(((K14-Q$13)/Q$14)*Q$18+Q$17,1))</f>
        <v>20.6</v>
      </c>
      <c r="M14" s="13" t="n">
        <v>28</v>
      </c>
      <c r="N14" s="6" t="n">
        <f aca="false">IF(M14="","",ROUND(((M14-Q$15)/Q$16)*Q$18+Q$17,1))</f>
        <v>22.8</v>
      </c>
      <c r="O14" s="12"/>
      <c r="P14" s="9" t="s">
        <v>47</v>
      </c>
      <c r="Q14" s="16" t="n">
        <f aca="false">IFERROR(STDEVP(K6:K400),"")</f>
        <v>617.408647088782</v>
      </c>
      <c r="T14" s="5" t="s">
        <v>231</v>
      </c>
      <c r="U14" s="5" t="s">
        <v>239</v>
      </c>
      <c r="V14" s="6" t="n">
        <f aca="false">IFERROR(MIN(ROUND(MAX(0,AVERAGE(Y14,AA14,AC14,AE14,AG14)),1),17.2),"")</f>
        <v>16.3</v>
      </c>
      <c r="W14" s="7" t="n">
        <f aca="false">COUNT(X14,Z14,AB14,AD14,AF14)</f>
        <v>5</v>
      </c>
      <c r="X14" s="13" t="n">
        <v>17</v>
      </c>
      <c r="Y14" s="6" t="n">
        <f aca="false">IF(X14="","",ROUND(((X14-AJ$7)/AJ$8)*AJ$18+AJ$17,1))</f>
        <v>17</v>
      </c>
      <c r="Z14" s="13" t="n">
        <v>10</v>
      </c>
      <c r="AA14" s="6" t="n">
        <f aca="false">IF(Z14="","",ROUND(((Z14-AJ$9)/AJ$10)*AJ$18+AJ$17,1))</f>
        <v>11.7</v>
      </c>
      <c r="AB14" s="13" t="n">
        <v>12</v>
      </c>
      <c r="AC14" s="6" t="n">
        <f aca="false">IF(AB14="","",ROUND(((AB14-AJ$11)/AJ$12)*AJ$18+AJ$17,1))</f>
        <v>15</v>
      </c>
      <c r="AD14" s="17" t="n">
        <v>972.7</v>
      </c>
      <c r="AE14" s="6" t="n">
        <f aca="false">IF(AD14="","",ROUND(((AD14-AJ$13)/AJ$14)*AJ$18+AJ$17,1))</f>
        <v>17.4</v>
      </c>
      <c r="AF14" s="13" t="n">
        <v>27</v>
      </c>
      <c r="AG14" s="6" t="n">
        <f aca="false">IF(AF14="","",ROUND(((AF14-AJ$15)/AJ$16)*AJ$18+AJ$17,1))</f>
        <v>20.6</v>
      </c>
      <c r="AH14" s="12"/>
      <c r="AI14" s="9" t="s">
        <v>47</v>
      </c>
      <c r="AJ14" s="16" t="n">
        <f aca="false">IFERROR(STDEVP(AD6:AD400),"")</f>
        <v>604.806829985593</v>
      </c>
      <c r="AM14" s="5" t="s">
        <v>231</v>
      </c>
      <c r="AN14" s="5" t="s">
        <v>241</v>
      </c>
      <c r="AO14" s="6" t="n">
        <f aca="false">IFERROR(ROUND(MAX(0,AVERAGE(AR14,AT14)),1),"")</f>
        <v>3.2</v>
      </c>
      <c r="AP14" s="7" t="n">
        <f aca="false">COUNT(AQ14,AS14)</f>
        <v>2</v>
      </c>
      <c r="AQ14" s="13" t="n">
        <v>6</v>
      </c>
      <c r="AR14" s="6" t="n">
        <f aca="false">IF(AQ14="","",ROUND(((AQ14-BC$7)/BC$8)*BC$12+BC$11,1))</f>
        <v>4.4</v>
      </c>
      <c r="AS14" s="13" t="n">
        <v>20</v>
      </c>
      <c r="AT14" s="6" t="n">
        <f aca="false">IF(AS14="","",ROUND(((AS14-BC$9)/BC$10)*BC$12+BC$11,1))</f>
        <v>2</v>
      </c>
      <c r="AU14" s="14"/>
      <c r="AV14" s="14"/>
      <c r="AW14" s="14"/>
      <c r="AX14" s="14"/>
      <c r="AY14" s="14"/>
      <c r="AZ14" s="14"/>
      <c r="BA14" s="12"/>
    </row>
    <row r="15" customFormat="false" ht="15" hidden="false" customHeight="true" outlineLevel="0" collapsed="false">
      <c r="A15" s="5" t="s">
        <v>231</v>
      </c>
      <c r="B15" s="5" t="s">
        <v>241</v>
      </c>
      <c r="C15" s="6" t="n">
        <f aca="false">IFERROR(ROUND(MAX(0,AVERAGE(F15,H15,J15,L15,N15)),1),"")</f>
        <v>13.5</v>
      </c>
      <c r="D15" s="7" t="n">
        <f aca="false">COUNT(E15,G15,I15,K15,M15)</f>
        <v>5</v>
      </c>
      <c r="E15" s="13" t="n">
        <v>14</v>
      </c>
      <c r="F15" s="6" t="n">
        <f aca="false">IF(E15="","",ROUND(((E15-Q$7)/Q$8)*Q$18+Q$17,1))</f>
        <v>14</v>
      </c>
      <c r="G15" s="13" t="n">
        <v>8</v>
      </c>
      <c r="H15" s="6" t="n">
        <f aca="false">IF(G15="","",ROUND(((G15-Q$9)/Q$10)*Q$18+Q$17,1))</f>
        <v>6.1</v>
      </c>
      <c r="I15" s="17" t="n">
        <v>12.8</v>
      </c>
      <c r="J15" s="6" t="n">
        <f aca="false">IF(I15="","",ROUND(((I15-Q$11)/Q$12)*Q$18+Q$17,1))</f>
        <v>12.4</v>
      </c>
      <c r="K15" s="13" t="n">
        <v>965</v>
      </c>
      <c r="L15" s="6" t="n">
        <f aca="false">IF(K15="","",ROUND(((K15-Q$13)/Q$14)*Q$18+Q$17,1))</f>
        <v>18.2</v>
      </c>
      <c r="M15" s="13" t="n">
        <v>22</v>
      </c>
      <c r="N15" s="6" t="n">
        <f aca="false">IF(M15="","",ROUND(((M15-Q$15)/Q$16)*Q$18+Q$17,1))</f>
        <v>17</v>
      </c>
      <c r="O15" s="12"/>
      <c r="P15" s="9" t="s">
        <v>45</v>
      </c>
      <c r="Q15" s="15" t="n">
        <f aca="false">IFERROR(AVERAGE(M6:M400),"")</f>
        <v>18.15625</v>
      </c>
      <c r="T15" s="5" t="s">
        <v>231</v>
      </c>
      <c r="U15" s="5" t="s">
        <v>241</v>
      </c>
      <c r="V15" s="6" t="n">
        <f aca="false">IFERROR(MIN(ROUND(MAX(0,AVERAGE(Y15,AA15,AC15,AE15,AG15)),1),13.5),"")</f>
        <v>12.3</v>
      </c>
      <c r="W15" s="7" t="n">
        <f aca="false">COUNT(X15,Z15,AB15,AD15,AF15)</f>
        <v>5</v>
      </c>
      <c r="X15" s="13" t="n">
        <v>12</v>
      </c>
      <c r="Y15" s="6" t="n">
        <f aca="false">IF(X15="","",ROUND(((X15-AJ$7)/AJ$8)*AJ$18+AJ$17,1))</f>
        <v>12</v>
      </c>
      <c r="Z15" s="13" t="n">
        <v>7</v>
      </c>
      <c r="AA15" s="6" t="n">
        <f aca="false">IF(Z15="","",ROUND(((Z15-AJ$9)/AJ$10)*AJ$18+AJ$17,1))</f>
        <v>6.8</v>
      </c>
      <c r="AB15" s="13" t="n">
        <v>11.2</v>
      </c>
      <c r="AC15" s="6" t="n">
        <f aca="false">IF(AB15="","",ROUND(((AB15-AJ$11)/AJ$12)*AJ$18+AJ$17,1))</f>
        <v>13.4</v>
      </c>
      <c r="AD15" s="17" t="n">
        <v>844.4</v>
      </c>
      <c r="AE15" s="6" t="n">
        <f aca="false">IF(AD15="","",ROUND(((AD15-AJ$13)/AJ$14)*AJ$18+AJ$17,1))</f>
        <v>14.5</v>
      </c>
      <c r="AF15" s="13" t="n">
        <v>21</v>
      </c>
      <c r="AG15" s="6" t="n">
        <f aca="false">IF(AF15="","",ROUND(((AF15-AJ$15)/AJ$16)*AJ$18+AJ$17,1))</f>
        <v>14.8</v>
      </c>
      <c r="AH15" s="12"/>
      <c r="AI15" s="9" t="s">
        <v>45</v>
      </c>
      <c r="AJ15" s="15" t="n">
        <f aca="false">IFERROR(AVERAGE(AF6:AF400),"")</f>
        <v>20.4615384615385</v>
      </c>
      <c r="AM15" s="5" t="s">
        <v>231</v>
      </c>
      <c r="AN15" s="5" t="s">
        <v>242</v>
      </c>
      <c r="AO15" s="6" t="n">
        <f aca="false">IFERROR(ROUND(MAX(0,AVERAGE(AR15,AT15)),1),"")</f>
        <v>2.6</v>
      </c>
      <c r="AP15" s="7" t="n">
        <f aca="false">COUNT(AQ15,AS15)</f>
        <v>2</v>
      </c>
      <c r="AQ15" s="13" t="n">
        <v>5</v>
      </c>
      <c r="AR15" s="6" t="n">
        <f aca="false">IF(AQ15="","",ROUND(((AQ15-BC$7)/BC$8)*BC$12+BC$11,1))</f>
        <v>3.2</v>
      </c>
      <c r="AS15" s="13" t="n">
        <v>20</v>
      </c>
      <c r="AT15" s="6" t="n">
        <f aca="false">IF(AS15="","",ROUND(((AS15-BC$9)/BC$10)*BC$12+BC$11,1))</f>
        <v>2</v>
      </c>
      <c r="AU15" s="14"/>
      <c r="AV15" s="14"/>
      <c r="AW15" s="14"/>
      <c r="AX15" s="14"/>
      <c r="AY15" s="14"/>
      <c r="AZ15" s="14"/>
      <c r="BA15" s="12"/>
    </row>
    <row r="16" customFormat="false" ht="15" hidden="false" customHeight="true" outlineLevel="0" collapsed="false">
      <c r="A16" s="5" t="s">
        <v>231</v>
      </c>
      <c r="B16" s="5" t="s">
        <v>242</v>
      </c>
      <c r="C16" s="6" t="n">
        <f aca="false">IFERROR(ROUND(MAX(0,AVERAGE(F16,H16,J16,L16,N16)),1),"")</f>
        <v>10.3</v>
      </c>
      <c r="D16" s="7" t="n">
        <f aca="false">COUNT(E16,G16,I16,K16,M16)</f>
        <v>5</v>
      </c>
      <c r="E16" s="13" t="n">
        <v>15</v>
      </c>
      <c r="F16" s="6" t="n">
        <f aca="false">IF(E16="","",ROUND(((E16-Q$7)/Q$8)*Q$18+Q$17,1))</f>
        <v>15</v>
      </c>
      <c r="G16" s="13" t="n">
        <v>6</v>
      </c>
      <c r="H16" s="6" t="n">
        <f aca="false">IF(G16="","",ROUND(((G16-Q$9)/Q$10)*Q$18+Q$17,1))</f>
        <v>2.9</v>
      </c>
      <c r="I16" s="17" t="n">
        <v>9.1</v>
      </c>
      <c r="J16" s="6" t="n">
        <f aca="false">IF(I16="","",ROUND(((I16-Q$11)/Q$12)*Q$18+Q$17,1))</f>
        <v>5.2</v>
      </c>
      <c r="K16" s="13" t="n">
        <v>755</v>
      </c>
      <c r="L16" s="6" t="n">
        <f aca="false">IF(K16="","",ROUND(((K16-Q$13)/Q$14)*Q$18+Q$17,1))</f>
        <v>13.3</v>
      </c>
      <c r="M16" s="13" t="n">
        <v>20</v>
      </c>
      <c r="N16" s="6" t="n">
        <f aca="false">IF(M16="","",ROUND(((M16-Q$15)/Q$16)*Q$18+Q$17,1))</f>
        <v>15.1</v>
      </c>
      <c r="O16" s="12"/>
      <c r="P16" s="9" t="s">
        <v>48</v>
      </c>
      <c r="Q16" s="16" t="n">
        <f aca="false">IFERROR(STDEVP(M6:M400),"")</f>
        <v>14.9355058815395</v>
      </c>
      <c r="T16" s="5" t="s">
        <v>231</v>
      </c>
      <c r="U16" s="5" t="s">
        <v>242</v>
      </c>
      <c r="V16" s="6" t="n">
        <f aca="false">IFERROR(MIN(ROUND(MAX(0,AVERAGE(Y16,AA16,AC16,AE16,AG16)),1),10.2),"")</f>
        <v>10</v>
      </c>
      <c r="W16" s="7" t="n">
        <f aca="false">COUNT(X16,Z16,AB16,AD16,AF16)</f>
        <v>5</v>
      </c>
      <c r="X16" s="13" t="n">
        <v>13</v>
      </c>
      <c r="Y16" s="6" t="n">
        <f aca="false">IF(X16="","",ROUND(((X16-AJ$7)/AJ$8)*AJ$18+AJ$17,1))</f>
        <v>13</v>
      </c>
      <c r="Z16" s="13" t="n">
        <v>5.5</v>
      </c>
      <c r="AA16" s="6" t="n">
        <f aca="false">IF(Z16="","",ROUND(((Z16-AJ$9)/AJ$10)*AJ$18+AJ$17,1))</f>
        <v>4.4</v>
      </c>
      <c r="AB16" s="13" t="n">
        <v>8.3</v>
      </c>
      <c r="AC16" s="6" t="n">
        <f aca="false">IF(AB16="","",ROUND(((AB16-AJ$11)/AJ$12)*AJ$18+AJ$17,1))</f>
        <v>7.5</v>
      </c>
      <c r="AD16" s="17" t="n">
        <v>692.1</v>
      </c>
      <c r="AE16" s="6" t="n">
        <f aca="false">IF(AD16="","",ROUND(((AD16-AJ$13)/AJ$14)*AJ$18+AJ$17,1))</f>
        <v>11</v>
      </c>
      <c r="AF16" s="13" t="n">
        <v>20</v>
      </c>
      <c r="AG16" s="6" t="n">
        <f aca="false">IF(AF16="","",ROUND(((AF16-AJ$15)/AJ$16)*AJ$18+AJ$17,1))</f>
        <v>13.9</v>
      </c>
      <c r="AH16" s="12"/>
      <c r="AI16" s="9" t="s">
        <v>48</v>
      </c>
      <c r="AJ16" s="16" t="n">
        <f aca="false">IFERROR(STDEVP(AF6:AF400),"")</f>
        <v>14.5898562475935</v>
      </c>
    </row>
    <row r="17" customFormat="false" ht="15" hidden="false" customHeight="true" outlineLevel="0" collapsed="false">
      <c r="A17" s="5" t="s">
        <v>231</v>
      </c>
      <c r="B17" s="5" t="s">
        <v>243</v>
      </c>
      <c r="C17" s="6" t="n">
        <f aca="false">IFERROR(ROUND(MAX(0,AVERAGE(F17,H17,J17,L17,N17)),1),"")</f>
        <v>9.9</v>
      </c>
      <c r="D17" s="7" t="n">
        <f aca="false">COUNT(E17,G17,I17,K17,M17)</f>
        <v>5</v>
      </c>
      <c r="E17" s="13" t="n">
        <v>12</v>
      </c>
      <c r="F17" s="6" t="n">
        <f aca="false">IF(E17="","",ROUND(((E17-Q$7)/Q$8)*Q$18+Q$17,1))</f>
        <v>12</v>
      </c>
      <c r="G17" s="13" t="n">
        <v>5</v>
      </c>
      <c r="H17" s="6" t="n">
        <f aca="false">IF(G17="","",ROUND(((G17-Q$9)/Q$10)*Q$18+Q$17,1))</f>
        <v>1.4</v>
      </c>
      <c r="I17" s="17" t="n">
        <v>9.7</v>
      </c>
      <c r="J17" s="6" t="n">
        <f aca="false">IF(I17="","",ROUND(((I17-Q$11)/Q$12)*Q$18+Q$17,1))</f>
        <v>6.3</v>
      </c>
      <c r="K17" s="13" t="n">
        <v>521</v>
      </c>
      <c r="L17" s="6" t="n">
        <f aca="false">IF(K17="","",ROUND(((K17-Q$13)/Q$14)*Q$18+Q$17,1))</f>
        <v>7.8</v>
      </c>
      <c r="M17" s="13" t="n">
        <v>27</v>
      </c>
      <c r="N17" s="6" t="n">
        <f aca="false">IF(M17="","",ROUND(((M17-Q$15)/Q$16)*Q$18+Q$17,1))</f>
        <v>21.9</v>
      </c>
      <c r="O17" s="12"/>
      <c r="P17" s="9" t="s">
        <v>50</v>
      </c>
      <c r="Q17" s="15" t="n">
        <f aca="false">MEDIAN(Q$7,Q$9,Q$15)</f>
        <v>13.34375</v>
      </c>
      <c r="T17" s="5" t="s">
        <v>231</v>
      </c>
      <c r="U17" s="5" t="s">
        <v>243</v>
      </c>
      <c r="V17" s="6" t="n">
        <f aca="false">IFERROR(MIN(ROUND(MAX(0,AVERAGE(Y17,AA17,AC17,AE17,AG17)),1),9.8),"")</f>
        <v>9.8</v>
      </c>
      <c r="W17" s="7" t="n">
        <f aca="false">COUNT(X17,Z17,AB17,AD17,AF17)</f>
        <v>5</v>
      </c>
      <c r="X17" s="13" t="n">
        <v>10</v>
      </c>
      <c r="Y17" s="6" t="n">
        <f aca="false">IF(X17="","",ROUND(((X17-AJ$7)/AJ$8)*AJ$18+AJ$17,1))</f>
        <v>10</v>
      </c>
      <c r="Z17" s="17" t="n">
        <v>4.8</v>
      </c>
      <c r="AA17" s="6" t="n">
        <f aca="false">IF(Z17="","",ROUND(((Z17-AJ$9)/AJ$10)*AJ$18+AJ$17,1))</f>
        <v>3.2</v>
      </c>
      <c r="AB17" s="13" t="n">
        <v>9.3</v>
      </c>
      <c r="AC17" s="6" t="n">
        <f aca="false">IF(AB17="","",ROUND(((AB17-AJ$11)/AJ$12)*AJ$18+AJ$17,1))</f>
        <v>9.5</v>
      </c>
      <c r="AD17" s="17" t="n">
        <v>501.7</v>
      </c>
      <c r="AE17" s="6" t="n">
        <f aca="false">IF(AD17="","",ROUND(((AD17-AJ$13)/AJ$14)*AJ$18+AJ$17,1))</f>
        <v>6.5</v>
      </c>
      <c r="AF17" s="13" t="n">
        <v>26</v>
      </c>
      <c r="AG17" s="6" t="n">
        <f aca="false">IF(AF17="","",ROUND(((AF17-AJ$15)/AJ$16)*AJ$18+AJ$17,1))</f>
        <v>19.6</v>
      </c>
      <c r="AH17" s="12"/>
      <c r="AI17" s="9" t="s">
        <v>50</v>
      </c>
      <c r="AJ17" s="15" t="n">
        <f aca="false">MEDIAN(AJ$7,AJ$9,AJ$15)</f>
        <v>14.3076923076923</v>
      </c>
    </row>
    <row r="18" customFormat="false" ht="15" hidden="false" customHeight="true" outlineLevel="0" collapsed="false">
      <c r="A18" s="5" t="s">
        <v>231</v>
      </c>
      <c r="B18" s="5" t="s">
        <v>244</v>
      </c>
      <c r="C18" s="6" t="n">
        <f aca="false">IFERROR(ROUND(MAX(0,AVERAGE(F18,H18,J18,L18,N18)),1),"")</f>
        <v>9.1</v>
      </c>
      <c r="D18" s="7" t="n">
        <f aca="false">COUNT(E18,G18,I18,K18,M18)</f>
        <v>5</v>
      </c>
      <c r="E18" s="13" t="n">
        <v>10</v>
      </c>
      <c r="F18" s="6" t="n">
        <f aca="false">IF(E18="","",ROUND(((E18-Q$7)/Q$8)*Q$18+Q$17,1))</f>
        <v>10</v>
      </c>
      <c r="G18" s="13" t="n">
        <v>6</v>
      </c>
      <c r="H18" s="6" t="n">
        <f aca="false">IF(G18="","",ROUND(((G18-Q$9)/Q$10)*Q$18+Q$17,1))</f>
        <v>2.9</v>
      </c>
      <c r="I18" s="17" t="n">
        <v>11.3</v>
      </c>
      <c r="J18" s="6" t="n">
        <f aca="false">IF(I18="","",ROUND(((I18-Q$11)/Q$12)*Q$18+Q$17,1))</f>
        <v>9.5</v>
      </c>
      <c r="K18" s="13" t="n">
        <v>406</v>
      </c>
      <c r="L18" s="6" t="n">
        <f aca="false">IF(K18="","",ROUND(((K18-Q$13)/Q$14)*Q$18+Q$17,1))</f>
        <v>5.1</v>
      </c>
      <c r="M18" s="13" t="n">
        <v>23</v>
      </c>
      <c r="N18" s="6" t="n">
        <f aca="false">IF(M18="","",ROUND(((M18-Q$15)/Q$16)*Q$18+Q$17,1))</f>
        <v>18</v>
      </c>
      <c r="O18" s="12"/>
      <c r="P18" s="9" t="s">
        <v>52</v>
      </c>
      <c r="Q18" s="16" t="n">
        <f aca="false">MEDIAN(Q$8,Q$10,Q$16)</f>
        <v>14.3975027674073</v>
      </c>
      <c r="T18" s="5" t="s">
        <v>231</v>
      </c>
      <c r="U18" s="5" t="s">
        <v>244</v>
      </c>
      <c r="V18" s="6" t="n">
        <f aca="false">IFERROR(MIN(ROUND(MAX(0,AVERAGE(Y18,AA18,AC18,AE18,AG18)),1),9.1),"")</f>
        <v>9.1</v>
      </c>
      <c r="W18" s="7" t="n">
        <f aca="false">COUNT(X18,Z18,AB18,AD18,AF18)</f>
        <v>5</v>
      </c>
      <c r="X18" s="13" t="n">
        <v>9</v>
      </c>
      <c r="Y18" s="6" t="n">
        <f aca="false">IF(X18="","",ROUND(((X18-AJ$7)/AJ$8)*AJ$18+AJ$17,1))</f>
        <v>9</v>
      </c>
      <c r="Z18" s="17" t="n">
        <v>6</v>
      </c>
      <c r="AA18" s="6" t="n">
        <f aca="false">IF(Z18="","",ROUND(((Z18-AJ$9)/AJ$10)*AJ$18+AJ$17,1))</f>
        <v>5.2</v>
      </c>
      <c r="AB18" s="13" t="n">
        <v>11.3</v>
      </c>
      <c r="AC18" s="6" t="n">
        <f aca="false">IF(AB18="","",ROUND(((AB18-AJ$11)/AJ$12)*AJ$18+AJ$17,1))</f>
        <v>13.6</v>
      </c>
      <c r="AD18" s="17" t="n">
        <v>406</v>
      </c>
      <c r="AE18" s="6" t="n">
        <f aca="false">IF(AD18="","",ROUND(((AD18-AJ$13)/AJ$14)*AJ$18+AJ$17,1))</f>
        <v>4.3</v>
      </c>
      <c r="AF18" s="13" t="n">
        <v>23</v>
      </c>
      <c r="AG18" s="6" t="n">
        <f aca="false">IF(AF18="","",ROUND(((AF18-AJ$15)/AJ$16)*AJ$18+AJ$17,1))</f>
        <v>16.7</v>
      </c>
      <c r="AH18" s="12"/>
      <c r="AI18" s="9" t="s">
        <v>52</v>
      </c>
      <c r="AJ18" s="16" t="n">
        <f aca="false">MEDIAN(AJ$8,AJ$10,AJ$16)</f>
        <v>14.004859680645</v>
      </c>
    </row>
    <row r="19" customFormat="false" ht="15" hidden="false" customHeight="true" outlineLevel="0" collapsed="false">
      <c r="A19" s="5" t="s">
        <v>231</v>
      </c>
      <c r="B19" s="5" t="s">
        <v>245</v>
      </c>
      <c r="C19" s="6" t="n">
        <f aca="false">IFERROR(ROUND(MAX(0,AVERAGE(F19,H19,J19,L19,N19)),1),"")</f>
        <v>7.1</v>
      </c>
      <c r="D19" s="7" t="n">
        <f aca="false">COUNT(E19,G19,I19,K19,M19)</f>
        <v>3</v>
      </c>
      <c r="E19" s="13" t="n">
        <v>8</v>
      </c>
      <c r="F19" s="6" t="n">
        <f aca="false">IF(E19="","",ROUND(((E19-Q$7)/Q$8)*Q$18+Q$17,1))</f>
        <v>8</v>
      </c>
      <c r="G19" s="13"/>
      <c r="H19" s="6" t="str">
        <f aca="false">IF(G19="","",ROUND(((G19-Q$9)/Q$10)*Q$18+Q$17,1))</f>
        <v/>
      </c>
      <c r="I19" s="13"/>
      <c r="J19" s="6" t="str">
        <f aca="false">IF(I19="","",ROUND(((I19-Q$11)/Q$12)*Q$18+Q$17,1))</f>
        <v/>
      </c>
      <c r="K19" s="13" t="n">
        <v>516</v>
      </c>
      <c r="L19" s="6" t="n">
        <f aca="false">IF(K19="","",ROUND(((K19-Q$13)/Q$14)*Q$18+Q$17,1))</f>
        <v>7.7</v>
      </c>
      <c r="M19" s="13" t="n">
        <v>10</v>
      </c>
      <c r="N19" s="6" t="n">
        <f aca="false">IF(M19="","",ROUND(((M19-Q$15)/Q$16)*Q$18+Q$17,1))</f>
        <v>5.5</v>
      </c>
      <c r="O19" s="12"/>
      <c r="T19" s="5" t="s">
        <v>231</v>
      </c>
      <c r="U19" s="5" t="s">
        <v>245</v>
      </c>
      <c r="V19" s="6" t="n">
        <f aca="false">IFERROR(MIN(ROUND(MAX(0,AVERAGE(Y19,AA19,AC19,AE19,AG19)),1),7),"")</f>
        <v>4.2</v>
      </c>
      <c r="W19" s="7" t="n">
        <f aca="false">COUNT(X19,Z19,AB19,AD19,AF19)</f>
        <v>3</v>
      </c>
      <c r="X19" s="13" t="n">
        <v>7</v>
      </c>
      <c r="Y19" s="6" t="n">
        <f aca="false">IF(X19="","",ROUND(((X19-AJ$7)/AJ$8)*AJ$18+AJ$17,1))</f>
        <v>7</v>
      </c>
      <c r="Z19" s="13"/>
      <c r="AA19" s="6" t="str">
        <f aca="false">IF(Z19="","",ROUND(((Z19-AJ$9)/AJ$10)*AJ$18+AJ$17,1))</f>
        <v/>
      </c>
      <c r="AB19" s="13" t="n">
        <v>4.8</v>
      </c>
      <c r="AC19" s="6" t="n">
        <f aca="false">IF(AB19="","",ROUND(((AB19-AJ$11)/AJ$12)*AJ$18+AJ$17,1))</f>
        <v>0.3</v>
      </c>
      <c r="AD19" s="13"/>
      <c r="AE19" s="6" t="str">
        <f aca="false">IF(AD19="","",ROUND(((AD19-AJ$13)/AJ$14)*AJ$18+AJ$17,1))</f>
        <v/>
      </c>
      <c r="AF19" s="13" t="n">
        <v>11</v>
      </c>
      <c r="AG19" s="6" t="n">
        <f aca="false">IF(AF19="","",ROUND(((AF19-AJ$15)/AJ$16)*AJ$18+AJ$17,1))</f>
        <v>5.2</v>
      </c>
      <c r="AH19" s="12"/>
    </row>
    <row r="20" customFormat="false" ht="15" hidden="false" customHeight="true" outlineLevel="0" collapsed="false">
      <c r="A20" s="5" t="s">
        <v>231</v>
      </c>
      <c r="B20" s="5" t="s">
        <v>246</v>
      </c>
      <c r="C20" s="6" t="n">
        <f aca="false">IFERROR(ROUND(MAX(0,AVERAGE(F20,H20,J20,L20,N20)),1),"")</f>
        <v>6.7</v>
      </c>
      <c r="D20" s="7" t="n">
        <f aca="false">COUNT(E20,G20,I20,K20,M20)</f>
        <v>3</v>
      </c>
      <c r="E20" s="13" t="n">
        <v>5</v>
      </c>
      <c r="F20" s="6" t="n">
        <f aca="false">IF(E20="","",ROUND(((E20-Q$7)/Q$8)*Q$18+Q$17,1))</f>
        <v>5</v>
      </c>
      <c r="G20" s="13"/>
      <c r="H20" s="6" t="str">
        <f aca="false">IF(G20="","",ROUND(((G20-Q$9)/Q$10)*Q$18+Q$17,1))</f>
        <v/>
      </c>
      <c r="I20" s="13"/>
      <c r="J20" s="6" t="str">
        <f aca="false">IF(I20="","",ROUND(((I20-Q$11)/Q$12)*Q$18+Q$17,1))</f>
        <v/>
      </c>
      <c r="K20" s="13" t="n">
        <v>554</v>
      </c>
      <c r="L20" s="6" t="n">
        <f aca="false">IF(K20="","",ROUND(((K20-Q$13)/Q$14)*Q$18+Q$17,1))</f>
        <v>8.6</v>
      </c>
      <c r="M20" s="13" t="n">
        <v>11</v>
      </c>
      <c r="N20" s="6" t="n">
        <f aca="false">IF(M20="","",ROUND(((M20-Q$15)/Q$16)*Q$18+Q$17,1))</f>
        <v>6.4</v>
      </c>
      <c r="O20" s="12"/>
      <c r="T20" s="5" t="s">
        <v>231</v>
      </c>
      <c r="U20" s="5" t="s">
        <v>246</v>
      </c>
      <c r="V20" s="6" t="n">
        <f aca="false">IFERROR(MIN(ROUND(MAX(0,AVERAGE(Y20,AA20,AC20,AE20,AG20)),1),6.6),"")</f>
        <v>5.7</v>
      </c>
      <c r="W20" s="7" t="n">
        <f aca="false">COUNT(X20,Z20,AB20,AD20,AF20)</f>
        <v>3</v>
      </c>
      <c r="X20" s="13" t="n">
        <v>4</v>
      </c>
      <c r="Y20" s="6" t="n">
        <f aca="false">IF(X20="","",ROUND(((X20-AJ$7)/AJ$8)*AJ$18+AJ$17,1))</f>
        <v>4</v>
      </c>
      <c r="Z20" s="13"/>
      <c r="AA20" s="6" t="str">
        <f aca="false">IF(Z20="","",ROUND(((Z20-AJ$9)/AJ$10)*AJ$18+AJ$17,1))</f>
        <v/>
      </c>
      <c r="AB20" s="13"/>
      <c r="AC20" s="6" t="str">
        <f aca="false">IF(AB20="","",ROUND(((AB20-AJ$11)/AJ$12)*AJ$18+AJ$17,1))</f>
        <v/>
      </c>
      <c r="AD20" s="17" t="n">
        <v>554</v>
      </c>
      <c r="AE20" s="6" t="n">
        <f aca="false">IF(AD20="","",ROUND(((AD20-AJ$13)/AJ$14)*AJ$18+AJ$17,1))</f>
        <v>7.8</v>
      </c>
      <c r="AF20" s="13" t="n">
        <v>11</v>
      </c>
      <c r="AG20" s="6" t="n">
        <f aca="false">IF(AF20="","",ROUND(((AF20-AJ$15)/AJ$16)*AJ$18+AJ$17,1))</f>
        <v>5.2</v>
      </c>
      <c r="AH20" s="12"/>
    </row>
    <row r="21" customFormat="false" ht="15" hidden="false" customHeight="true" outlineLevel="0" collapsed="false">
      <c r="A21" s="5" t="s">
        <v>231</v>
      </c>
      <c r="B21" s="5" t="s">
        <v>247</v>
      </c>
      <c r="C21" s="6" t="n">
        <f aca="false">IFERROR(ROUND(MAX(0,AVERAGE(F21,H21,J21,L21,N21)),1),"")</f>
        <v>6.1</v>
      </c>
      <c r="D21" s="7" t="n">
        <f aca="false">COUNT(E21,G21,I21,K21,M21)</f>
        <v>5</v>
      </c>
      <c r="E21" s="13" t="n">
        <v>9</v>
      </c>
      <c r="F21" s="6" t="n">
        <f aca="false">IF(E21="","",ROUND(((E21-Q$7)/Q$8)*Q$18+Q$17,1))</f>
        <v>9</v>
      </c>
      <c r="G21" s="13" t="n">
        <v>6</v>
      </c>
      <c r="H21" s="6" t="n">
        <f aca="false">IF(G21="","",ROUND(((G21-Q$9)/Q$10)*Q$18+Q$17,1))</f>
        <v>2.9</v>
      </c>
      <c r="I21" s="17" t="n">
        <v>9</v>
      </c>
      <c r="J21" s="6" t="n">
        <f aca="false">IF(I21="","",ROUND(((I21-Q$11)/Q$12)*Q$18+Q$17,1))</f>
        <v>5</v>
      </c>
      <c r="K21" s="13" t="n">
        <v>325</v>
      </c>
      <c r="L21" s="6" t="n">
        <f aca="false">IF(K21="","",ROUND(((K21-Q$13)/Q$14)*Q$18+Q$17,1))</f>
        <v>3.2</v>
      </c>
      <c r="M21" s="13" t="n">
        <v>15</v>
      </c>
      <c r="N21" s="6" t="n">
        <f aca="false">IF(M21="","",ROUND(((M21-Q$15)/Q$16)*Q$18+Q$17,1))</f>
        <v>10.3</v>
      </c>
      <c r="O21" s="12"/>
      <c r="T21" s="5" t="s">
        <v>231</v>
      </c>
      <c r="U21" s="5" t="s">
        <v>247</v>
      </c>
      <c r="V21" s="6" t="n">
        <f aca="false">IFERROR(MIN(ROUND(MAX(0,AVERAGE(Y21,AA21,AC21,AE21,AG21)),1),6),"")</f>
        <v>5.5</v>
      </c>
      <c r="W21" s="7" t="n">
        <f aca="false">COUNT(X21,Z21,AB21,AD21,AF21)</f>
        <v>5</v>
      </c>
      <c r="X21" s="13" t="n">
        <v>8</v>
      </c>
      <c r="Y21" s="6" t="n">
        <f aca="false">IF(X21="","",ROUND(((X21-AJ$7)/AJ$8)*AJ$18+AJ$17,1))</f>
        <v>8</v>
      </c>
      <c r="Z21" s="17" t="n">
        <v>5.3</v>
      </c>
      <c r="AA21" s="6" t="n">
        <f aca="false">IF(Z21="","",ROUND(((Z21-AJ$9)/AJ$10)*AJ$18+AJ$17,1))</f>
        <v>4</v>
      </c>
      <c r="AB21" s="13" t="n">
        <v>8</v>
      </c>
      <c r="AC21" s="6" t="n">
        <f aca="false">IF(AB21="","",ROUND(((AB21-AJ$11)/AJ$12)*AJ$18+AJ$17,1))</f>
        <v>6.9</v>
      </c>
      <c r="AD21" s="17" t="n">
        <v>288.9</v>
      </c>
      <c r="AE21" s="6" t="n">
        <f aca="false">IF(AD21="","",ROUND(((AD21-AJ$13)/AJ$14)*AJ$18+AJ$17,1))</f>
        <v>1.6</v>
      </c>
      <c r="AF21" s="13" t="n">
        <v>13</v>
      </c>
      <c r="AG21" s="6" t="n">
        <f aca="false">IF(AF21="","",ROUND(((AF21-AJ$15)/AJ$16)*AJ$18+AJ$17,1))</f>
        <v>7.1</v>
      </c>
      <c r="AH21" s="12"/>
    </row>
    <row r="22" customFormat="false" ht="15" hidden="false" customHeight="true" outlineLevel="0" collapsed="false">
      <c r="A22" s="5" t="s">
        <v>231</v>
      </c>
      <c r="B22" s="5" t="s">
        <v>248</v>
      </c>
      <c r="C22" s="6" t="n">
        <f aca="false">IFERROR(ROUND(MAX(0,AVERAGE(F22,H22,J22,L22,N22)),1),"")</f>
        <v>5.7</v>
      </c>
      <c r="D22" s="7" t="n">
        <f aca="false">COUNT(E22,G22,I22,K22,M22)</f>
        <v>3</v>
      </c>
      <c r="E22" s="13" t="n">
        <v>6</v>
      </c>
      <c r="F22" s="6" t="n">
        <f aca="false">IF(E22="","",ROUND(((E22-Q$7)/Q$8)*Q$18+Q$17,1))</f>
        <v>6</v>
      </c>
      <c r="G22" s="13"/>
      <c r="H22" s="6" t="str">
        <f aca="false">IF(G22="","",ROUND(((G22-Q$9)/Q$10)*Q$18+Q$17,1))</f>
        <v/>
      </c>
      <c r="I22" s="13"/>
      <c r="J22" s="6" t="str">
        <f aca="false">IF(I22="","",ROUND(((I22-Q$11)/Q$12)*Q$18+Q$17,1))</f>
        <v/>
      </c>
      <c r="K22" s="13" t="n">
        <v>422</v>
      </c>
      <c r="L22" s="6" t="n">
        <f aca="false">IF(K22="","",ROUND(((K22-Q$13)/Q$14)*Q$18+Q$17,1))</f>
        <v>5.5</v>
      </c>
      <c r="M22" s="13" t="n">
        <v>10</v>
      </c>
      <c r="N22" s="6" t="n">
        <f aca="false">IF(M22="","",ROUND(((M22-Q$15)/Q$16)*Q$18+Q$17,1))</f>
        <v>5.5</v>
      </c>
      <c r="O22" s="12"/>
      <c r="T22" s="5" t="s">
        <v>231</v>
      </c>
      <c r="U22" s="5" t="s">
        <v>248</v>
      </c>
      <c r="V22" s="6" t="n">
        <f aca="false">IFERROR(MIN(ROUND(MAX(0,AVERAGE(Y22,AA22,AC22,AE22,AG22)),1),5.6),"")</f>
        <v>4</v>
      </c>
      <c r="W22" s="7" t="n">
        <f aca="false">COUNT(X22,Z22,AB22,AD22,AF22)</f>
        <v>3</v>
      </c>
      <c r="X22" s="13" t="n">
        <v>5</v>
      </c>
      <c r="Y22" s="6" t="n">
        <f aca="false">IF(X22="","",ROUND(((X22-AJ$7)/AJ$8)*AJ$18+AJ$17,1))</f>
        <v>5</v>
      </c>
      <c r="Z22" s="13"/>
      <c r="AA22" s="6" t="str">
        <f aca="false">IF(Z22="","",ROUND(((Z22-AJ$9)/AJ$10)*AJ$18+AJ$17,1))</f>
        <v/>
      </c>
      <c r="AB22" s="13"/>
      <c r="AC22" s="6" t="str">
        <f aca="false">IF(AB22="","",ROUND(((AB22-AJ$11)/AJ$12)*AJ$18+AJ$17,1))</f>
        <v/>
      </c>
      <c r="AD22" s="17" t="n">
        <v>379.8</v>
      </c>
      <c r="AE22" s="6" t="n">
        <f aca="false">IF(AD22="","",ROUND(((AD22-AJ$13)/AJ$14)*AJ$18+AJ$17,1))</f>
        <v>3.7</v>
      </c>
      <c r="AF22" s="13" t="n">
        <v>9</v>
      </c>
      <c r="AG22" s="6" t="n">
        <f aca="false">IF(AF22="","",ROUND(((AF22-AJ$15)/AJ$16)*AJ$18+AJ$17,1))</f>
        <v>3.3</v>
      </c>
      <c r="AH22" s="12"/>
    </row>
    <row r="23" customFormat="false" ht="15" hidden="false" customHeight="true" outlineLevel="0" collapsed="false">
      <c r="A23" s="5" t="s">
        <v>231</v>
      </c>
      <c r="B23" s="5" t="s">
        <v>249</v>
      </c>
      <c r="C23" s="6" t="n">
        <f aca="false">IFERROR(ROUND(MAX(0,AVERAGE(F23,H23,J23,L23,N23)),1),"")</f>
        <v>5.6</v>
      </c>
      <c r="D23" s="7" t="n">
        <f aca="false">COUNT(E23,G23,I23,K23,M23)</f>
        <v>4</v>
      </c>
      <c r="E23" s="13" t="n">
        <v>8</v>
      </c>
      <c r="F23" s="6" t="n">
        <f aca="false">IF(E23="","",ROUND(((E23-Q$7)/Q$8)*Q$18+Q$17,1))</f>
        <v>8</v>
      </c>
      <c r="G23" s="13" t="n">
        <v>5</v>
      </c>
      <c r="H23" s="6" t="n">
        <f aca="false">IF(G23="","",ROUND(((G23-Q$9)/Q$10)*Q$18+Q$17,1))</f>
        <v>1.4</v>
      </c>
      <c r="I23" s="13"/>
      <c r="J23" s="6" t="str">
        <f aca="false">IF(I23="","",ROUND(((I23-Q$11)/Q$12)*Q$18+Q$17,1))</f>
        <v/>
      </c>
      <c r="K23" s="13" t="n">
        <v>428</v>
      </c>
      <c r="L23" s="6" t="n">
        <f aca="false">IF(K23="","",ROUND(((K23-Q$13)/Q$14)*Q$18+Q$17,1))</f>
        <v>5.6</v>
      </c>
      <c r="M23" s="13" t="n">
        <v>12</v>
      </c>
      <c r="N23" s="6" t="n">
        <f aca="false">IF(M23="","",ROUND(((M23-Q$15)/Q$16)*Q$18+Q$17,1))</f>
        <v>7.4</v>
      </c>
      <c r="O23" s="12"/>
      <c r="T23" s="5" t="s">
        <v>231</v>
      </c>
      <c r="U23" s="5" t="s">
        <v>249</v>
      </c>
      <c r="V23" s="6" t="n">
        <f aca="false">IFERROR(MIN(ROUND(MAX(0,AVERAGE(Y23,AA23,AC23,AE23,AG23)),1),5.6),"")</f>
        <v>5.4</v>
      </c>
      <c r="W23" s="7" t="n">
        <f aca="false">COUNT(X23,Z23,AB23,AD23,AF23)</f>
        <v>4</v>
      </c>
      <c r="X23" s="13" t="n">
        <v>7</v>
      </c>
      <c r="Y23" s="6" t="n">
        <f aca="false">IF(X23="","",ROUND(((X23-AJ$7)/AJ$8)*AJ$18+AJ$17,1))</f>
        <v>7</v>
      </c>
      <c r="Z23" s="17" t="n">
        <v>5</v>
      </c>
      <c r="AA23" s="6" t="n">
        <f aca="false">IF(Z23="","",ROUND(((Z23-AJ$9)/AJ$10)*AJ$18+AJ$17,1))</f>
        <v>3.6</v>
      </c>
      <c r="AB23" s="13"/>
      <c r="AC23" s="6" t="str">
        <f aca="false">IF(AB23="","",ROUND(((AB23-AJ$11)/AJ$12)*AJ$18+AJ$17,1))</f>
        <v/>
      </c>
      <c r="AD23" s="17" t="n">
        <v>428</v>
      </c>
      <c r="AE23" s="6" t="n">
        <f aca="false">IF(AD23="","",ROUND(((AD23-AJ$13)/AJ$14)*AJ$18+AJ$17,1))</f>
        <v>4.8</v>
      </c>
      <c r="AF23" s="13" t="n">
        <v>12</v>
      </c>
      <c r="AG23" s="6" t="n">
        <f aca="false">IF(AF23="","",ROUND(((AF23-AJ$15)/AJ$16)*AJ$18+AJ$17,1))</f>
        <v>6.2</v>
      </c>
      <c r="AH23" s="12"/>
    </row>
    <row r="24" customFormat="false" ht="15" hidden="false" customHeight="true" outlineLevel="0" collapsed="false">
      <c r="A24" s="5" t="s">
        <v>231</v>
      </c>
      <c r="B24" s="5" t="s">
        <v>250</v>
      </c>
      <c r="C24" s="6" t="n">
        <f aca="false">IFERROR(ROUND(MAX(0,AVERAGE(F24,H24,J24,L24,N24)),1),"")</f>
        <v>5.5</v>
      </c>
      <c r="D24" s="7" t="n">
        <f aca="false">COUNT(E24,G24,I24,K24,M24)</f>
        <v>4</v>
      </c>
      <c r="E24" s="13" t="n">
        <v>7</v>
      </c>
      <c r="F24" s="6" t="n">
        <f aca="false">IF(E24="","",ROUND(((E24-Q$7)/Q$8)*Q$18+Q$17,1))</f>
        <v>7</v>
      </c>
      <c r="G24" s="13"/>
      <c r="H24" s="6" t="str">
        <f aca="false">IF(G24="","",ROUND(((G24-Q$9)/Q$10)*Q$18+Q$17,1))</f>
        <v/>
      </c>
      <c r="I24" s="17" t="n">
        <v>1</v>
      </c>
      <c r="J24" s="6" t="n">
        <f aca="false">IF(I24="","",ROUND(((I24-Q$11)/Q$12)*Q$18+Q$17,1))</f>
        <v>-10.6</v>
      </c>
      <c r="K24" s="13" t="n">
        <v>675</v>
      </c>
      <c r="L24" s="6" t="n">
        <f aca="false">IF(K24="","",ROUND(((K24-Q$13)/Q$14)*Q$18+Q$17,1))</f>
        <v>11.4</v>
      </c>
      <c r="M24" s="13" t="n">
        <v>19</v>
      </c>
      <c r="N24" s="6" t="n">
        <f aca="false">IF(M24="","",ROUND(((M24-Q$15)/Q$16)*Q$18+Q$17,1))</f>
        <v>14.2</v>
      </c>
      <c r="O24" s="12"/>
      <c r="T24" s="5" t="s">
        <v>231</v>
      </c>
      <c r="U24" s="5" t="s">
        <v>250</v>
      </c>
      <c r="V24" s="6" t="n">
        <f aca="false">IFERROR(MIN(ROUND(MAX(0,AVERAGE(Y24,AA24,AC24,AE24,AG24)),1),5.4),"")</f>
        <v>5.4</v>
      </c>
      <c r="W24" s="7" t="n">
        <f aca="false">COUNT(X24,Z24,AB24,AD24,AF24)</f>
        <v>4</v>
      </c>
      <c r="X24" s="13" t="n">
        <v>6</v>
      </c>
      <c r="Y24" s="6" t="n">
        <f aca="false">IF(X24="","",ROUND(((X24-AJ$7)/AJ$8)*AJ$18+AJ$17,1))</f>
        <v>6</v>
      </c>
      <c r="Z24" s="13"/>
      <c r="AA24" s="6" t="str">
        <f aca="false">IF(Z24="","",ROUND(((Z24-AJ$9)/AJ$10)*AJ$18+AJ$17,1))</f>
        <v/>
      </c>
      <c r="AB24" s="13" t="n">
        <v>1</v>
      </c>
      <c r="AC24" s="6" t="n">
        <f aca="false">IF(AB24="","",ROUND(((AB24-AJ$11)/AJ$12)*AJ$18+AJ$17,1))</f>
        <v>-7.4</v>
      </c>
      <c r="AD24" s="17" t="n">
        <v>675</v>
      </c>
      <c r="AE24" s="6" t="n">
        <f aca="false">IF(AD24="","",ROUND(((AD24-AJ$13)/AJ$14)*AJ$18+AJ$17,1))</f>
        <v>10.6</v>
      </c>
      <c r="AF24" s="13" t="n">
        <v>19</v>
      </c>
      <c r="AG24" s="6" t="n">
        <f aca="false">IF(AF24="","",ROUND(((AF24-AJ$15)/AJ$16)*AJ$18+AJ$17,1))</f>
        <v>12.9</v>
      </c>
      <c r="AH24" s="12"/>
    </row>
    <row r="25" customFormat="false" ht="15" hidden="false" customHeight="true" outlineLevel="0" collapsed="false">
      <c r="A25" s="5" t="s">
        <v>231</v>
      </c>
      <c r="B25" s="5" t="s">
        <v>251</v>
      </c>
      <c r="C25" s="6" t="n">
        <f aca="false">IFERROR(ROUND(MAX(0,AVERAGE(F25,H25,J25,L25,N25)),1),"")</f>
        <v>4.7</v>
      </c>
      <c r="D25" s="7" t="n">
        <f aca="false">COUNT(E25,G25,I25,K25,M25)</f>
        <v>3</v>
      </c>
      <c r="E25" s="13" t="n">
        <v>4</v>
      </c>
      <c r="F25" s="6" t="n">
        <f aca="false">IF(E25="","",ROUND(((E25-Q$7)/Q$8)*Q$18+Q$17,1))</f>
        <v>4</v>
      </c>
      <c r="G25" s="13"/>
      <c r="H25" s="6" t="str">
        <f aca="false">IF(G25="","",ROUND(((G25-Q$9)/Q$10)*Q$18+Q$17,1))</f>
        <v/>
      </c>
      <c r="I25" s="13"/>
      <c r="J25" s="6" t="str">
        <f aca="false">IF(I25="","",ROUND(((I25-Q$11)/Q$12)*Q$18+Q$17,1))</f>
        <v/>
      </c>
      <c r="K25" s="13" t="n">
        <v>348</v>
      </c>
      <c r="L25" s="6" t="n">
        <f aca="false">IF(K25="","",ROUND(((K25-Q$13)/Q$14)*Q$18+Q$17,1))</f>
        <v>3.8</v>
      </c>
      <c r="M25" s="13" t="n">
        <v>11</v>
      </c>
      <c r="N25" s="6" t="n">
        <f aca="false">IF(M25="","",ROUND(((M25-Q$15)/Q$16)*Q$18+Q$17,1))</f>
        <v>6.4</v>
      </c>
      <c r="O25" s="12"/>
      <c r="T25" s="5" t="s">
        <v>231</v>
      </c>
      <c r="U25" s="5" t="s">
        <v>251</v>
      </c>
      <c r="V25" s="6" t="n">
        <f aca="false">IFERROR(MIN(ROUND(MAX(0,AVERAGE(Y25,AA25,AC25,AE25,AG25)),1),4.7),"")</f>
        <v>4.5</v>
      </c>
      <c r="W25" s="7" t="n">
        <f aca="false">COUNT(X25,Z25,AB25,AD25,AF25)</f>
        <v>3</v>
      </c>
      <c r="X25" s="13" t="n">
        <v>3</v>
      </c>
      <c r="Y25" s="6" t="n">
        <f aca="false">IF(X25="","",ROUND(((X25-AJ$7)/AJ$8)*AJ$18+AJ$17,1))</f>
        <v>3</v>
      </c>
      <c r="Z25" s="13"/>
      <c r="AA25" s="6" t="str">
        <f aca="false">IF(Z25="","",ROUND(((Z25-AJ$9)/AJ$10)*AJ$18+AJ$17,1))</f>
        <v/>
      </c>
      <c r="AB25" s="13" t="n">
        <v>7.3</v>
      </c>
      <c r="AC25" s="6" t="n">
        <f aca="false">IF(AB25="","",ROUND(((AB25-AJ$11)/AJ$12)*AJ$18+AJ$17,1))</f>
        <v>5.4</v>
      </c>
      <c r="AD25" s="13"/>
      <c r="AE25" s="6" t="str">
        <f aca="false">IF(AD25="","",ROUND(((AD25-AJ$13)/AJ$14)*AJ$18+AJ$17,1))</f>
        <v/>
      </c>
      <c r="AF25" s="13" t="n">
        <v>11</v>
      </c>
      <c r="AG25" s="6" t="n">
        <f aca="false">IF(AF25="","",ROUND(((AF25-AJ$15)/AJ$16)*AJ$18+AJ$17,1))</f>
        <v>5.2</v>
      </c>
      <c r="AH25" s="12"/>
    </row>
    <row r="26" customFormat="false" ht="15" hidden="false" customHeight="true" outlineLevel="0" collapsed="false">
      <c r="A26" s="5" t="s">
        <v>231</v>
      </c>
      <c r="B26" s="5" t="s">
        <v>252</v>
      </c>
      <c r="C26" s="6" t="n">
        <f aca="false">IFERROR(ROUND(MAX(0,AVERAGE(F26,H26,J26,L26,N26)),1),"")</f>
        <v>4.1</v>
      </c>
      <c r="D26" s="7" t="n">
        <f aca="false">COUNT(E26,G26,I26,K26,M26)</f>
        <v>5</v>
      </c>
      <c r="E26" s="13" t="n">
        <v>7</v>
      </c>
      <c r="F26" s="6" t="n">
        <f aca="false">IF(E26="","",ROUND(((E26-Q$7)/Q$8)*Q$18+Q$17,1))</f>
        <v>7</v>
      </c>
      <c r="G26" s="13" t="n">
        <v>5</v>
      </c>
      <c r="H26" s="6" t="n">
        <f aca="false">IF(G26="","",ROUND(((G26-Q$9)/Q$10)*Q$18+Q$17,1))</f>
        <v>1.4</v>
      </c>
      <c r="I26" s="17" t="n">
        <v>5.9</v>
      </c>
      <c r="J26" s="6" t="n">
        <f aca="false">IF(I26="","",ROUND(((I26-Q$11)/Q$12)*Q$18+Q$17,1))</f>
        <v>-1.1</v>
      </c>
      <c r="K26" s="13" t="n">
        <v>527</v>
      </c>
      <c r="L26" s="6" t="n">
        <f aca="false">IF(K26="","",ROUND(((K26-Q$13)/Q$14)*Q$18+Q$17,1))</f>
        <v>7.9</v>
      </c>
      <c r="M26" s="13" t="n">
        <v>10</v>
      </c>
      <c r="N26" s="6" t="n">
        <f aca="false">IF(M26="","",ROUND(((M26-Q$15)/Q$16)*Q$18+Q$17,1))</f>
        <v>5.5</v>
      </c>
      <c r="O26" s="12"/>
      <c r="T26" s="5" t="s">
        <v>231</v>
      </c>
      <c r="U26" s="5" t="s">
        <v>252</v>
      </c>
      <c r="V26" s="6" t="n">
        <f aca="false">IFERROR(MIN(ROUND(MAX(0,AVERAGE(Y26,AA26,AC26,AE26,AG26)),1),4.1),"")</f>
        <v>4.1</v>
      </c>
      <c r="W26" s="7" t="n">
        <f aca="false">COUNT(X26,Z26,AB26,AD26,AF26)</f>
        <v>5</v>
      </c>
      <c r="X26" s="13" t="n">
        <v>6</v>
      </c>
      <c r="Y26" s="6" t="n">
        <f aca="false">IF(X26="","",ROUND(((X26-AJ$7)/AJ$8)*AJ$18+AJ$17,1))</f>
        <v>6</v>
      </c>
      <c r="Z26" s="17" t="n">
        <v>5</v>
      </c>
      <c r="AA26" s="6" t="n">
        <f aca="false">IF(Z26="","",ROUND(((Z26-AJ$9)/AJ$10)*AJ$18+AJ$17,1))</f>
        <v>3.6</v>
      </c>
      <c r="AB26" s="13" t="n">
        <v>5.9</v>
      </c>
      <c r="AC26" s="6" t="n">
        <f aca="false">IF(AB26="","",ROUND(((AB26-AJ$11)/AJ$12)*AJ$18+AJ$17,1))</f>
        <v>2.6</v>
      </c>
      <c r="AD26" s="17" t="n">
        <v>527</v>
      </c>
      <c r="AE26" s="6" t="n">
        <f aca="false">IF(AD26="","",ROUND(((AD26-AJ$13)/AJ$14)*AJ$18+AJ$17,1))</f>
        <v>7.1</v>
      </c>
      <c r="AF26" s="13" t="n">
        <v>10</v>
      </c>
      <c r="AG26" s="6" t="n">
        <f aca="false">IF(AF26="","",ROUND(((AF26-AJ$15)/AJ$16)*AJ$18+AJ$17,1))</f>
        <v>4.3</v>
      </c>
      <c r="AH26" s="12"/>
    </row>
    <row r="27" customFormat="false" ht="15" hidden="false" customHeight="true" outlineLevel="0" collapsed="false">
      <c r="A27" s="5" t="s">
        <v>231</v>
      </c>
      <c r="B27" s="5" t="s">
        <v>253</v>
      </c>
      <c r="C27" s="6" t="n">
        <f aca="false">IFERROR(ROUND(MAX(0,AVERAGE(F27,H27,J27,L27,N27)),1),"")</f>
        <v>3.6</v>
      </c>
      <c r="D27" s="7" t="n">
        <f aca="false">COUNT(E27,G27,I27,K27,M27)</f>
        <v>3</v>
      </c>
      <c r="E27" s="13" t="n">
        <v>2</v>
      </c>
      <c r="F27" s="6" t="n">
        <f aca="false">IF(E27="","",ROUND(((E27-Q$7)/Q$8)*Q$18+Q$17,1))</f>
        <v>2</v>
      </c>
      <c r="G27" s="13"/>
      <c r="H27" s="6" t="str">
        <f aca="false">IF(G27="","",ROUND(((G27-Q$9)/Q$10)*Q$18+Q$17,1))</f>
        <v/>
      </c>
      <c r="I27" s="13"/>
      <c r="J27" s="6" t="str">
        <f aca="false">IF(I27="","",ROUND(((I27-Q$11)/Q$12)*Q$18+Q$17,1))</f>
        <v/>
      </c>
      <c r="K27" s="13" t="n">
        <v>293</v>
      </c>
      <c r="L27" s="6" t="n">
        <f aca="false">IF(K27="","",ROUND(((K27-Q$13)/Q$14)*Q$18+Q$17,1))</f>
        <v>2.5</v>
      </c>
      <c r="M27" s="13" t="n">
        <v>11</v>
      </c>
      <c r="N27" s="6" t="n">
        <f aca="false">IF(M27="","",ROUND(((M27-Q$15)/Q$16)*Q$18+Q$17,1))</f>
        <v>6.4</v>
      </c>
      <c r="O27" s="12"/>
      <c r="T27" s="5" t="s">
        <v>231</v>
      </c>
      <c r="U27" s="5" t="s">
        <v>254</v>
      </c>
      <c r="V27" s="6" t="n">
        <f aca="false">IFERROR(MIN(ROUND(MAX(0,AVERAGE(Y27,AA27,AC27,AE27,AG27)),1),3.3),"")</f>
        <v>1.6</v>
      </c>
      <c r="W27" s="7" t="n">
        <f aca="false">COUNT(X27,Z27,AB27,AD27,AF27)</f>
        <v>3</v>
      </c>
      <c r="X27" s="13" t="n">
        <v>3</v>
      </c>
      <c r="Y27" s="6" t="n">
        <f aca="false">IF(X27="","",ROUND(((X27-AJ$7)/AJ$8)*AJ$18+AJ$17,1))</f>
        <v>3</v>
      </c>
      <c r="Z27" s="13"/>
      <c r="AA27" s="6" t="str">
        <f aca="false">IF(Z27="","",ROUND(((Z27-AJ$9)/AJ$10)*AJ$18+AJ$17,1))</f>
        <v/>
      </c>
      <c r="AB27" s="13"/>
      <c r="AC27" s="6" t="str">
        <f aca="false">IF(AB27="","",ROUND(((AB27-AJ$11)/AJ$12)*AJ$18+AJ$17,1))</f>
        <v/>
      </c>
      <c r="AD27" s="17" t="n">
        <v>283.7</v>
      </c>
      <c r="AE27" s="6" t="n">
        <f aca="false">IF(AD27="","",ROUND(((AD27-AJ$13)/AJ$14)*AJ$18+AJ$17,1))</f>
        <v>1.5</v>
      </c>
      <c r="AF27" s="13" t="n">
        <v>6</v>
      </c>
      <c r="AG27" s="6" t="n">
        <f aca="false">IF(AF27="","",ROUND(((AF27-AJ$15)/AJ$16)*AJ$18+AJ$17,1))</f>
        <v>0.4</v>
      </c>
      <c r="AH27" s="12"/>
    </row>
    <row r="28" customFormat="false" ht="15" hidden="false" customHeight="true" outlineLevel="0" collapsed="false">
      <c r="A28" s="5" t="s">
        <v>231</v>
      </c>
      <c r="B28" s="5" t="s">
        <v>254</v>
      </c>
      <c r="C28" s="6" t="n">
        <f aca="false">IFERROR(ROUND(MAX(0,AVERAGE(F28,H28,J28,L28,N28)),1),"")</f>
        <v>3.3</v>
      </c>
      <c r="D28" s="7" t="n">
        <f aca="false">COUNT(E28,G28,I28,K28,M28)</f>
        <v>3</v>
      </c>
      <c r="E28" s="13" t="n">
        <v>4</v>
      </c>
      <c r="F28" s="6" t="n">
        <f aca="false">IF(E28="","",ROUND(((E28-Q$7)/Q$8)*Q$18+Q$17,1))</f>
        <v>4</v>
      </c>
      <c r="G28" s="13"/>
      <c r="H28" s="6" t="str">
        <f aca="false">IF(G28="","",ROUND(((G28-Q$9)/Q$10)*Q$18+Q$17,1))</f>
        <v/>
      </c>
      <c r="I28" s="13"/>
      <c r="J28" s="6" t="str">
        <f aca="false">IF(I28="","",ROUND(((I28-Q$11)/Q$12)*Q$18+Q$17,1))</f>
        <v/>
      </c>
      <c r="K28" s="13" t="n">
        <v>331</v>
      </c>
      <c r="L28" s="6" t="n">
        <f aca="false">IF(K28="","",ROUND(((K28-Q$13)/Q$14)*Q$18+Q$17,1))</f>
        <v>3.4</v>
      </c>
      <c r="M28" s="13" t="n">
        <v>7</v>
      </c>
      <c r="N28" s="6" t="n">
        <f aca="false">IF(M28="","",ROUND(((M28-Q$15)/Q$16)*Q$18+Q$17,1))</f>
        <v>2.6</v>
      </c>
      <c r="O28" s="12"/>
      <c r="T28" s="5" t="s">
        <v>231</v>
      </c>
      <c r="U28" s="5" t="s">
        <v>255</v>
      </c>
      <c r="V28" s="6" t="n">
        <f aca="false">IFERROR(MIN(ROUND(MAX(0,AVERAGE(Y28,AA28,AC28,AE28,AG28)),1),1.9),"")</f>
        <v>0</v>
      </c>
      <c r="W28" s="7" t="n">
        <f aca="false">COUNT(X28,Z28,AB28,AD28,AF28)</f>
        <v>3</v>
      </c>
      <c r="X28" s="13" t="n">
        <v>2</v>
      </c>
      <c r="Y28" s="6" t="n">
        <f aca="false">IF(X28="","",ROUND(((X28-AJ$7)/AJ$8)*AJ$18+AJ$17,1))</f>
        <v>2</v>
      </c>
      <c r="Z28" s="13"/>
      <c r="AA28" s="6" t="str">
        <f aca="false">IF(Z28="","",ROUND(((Z28-AJ$9)/AJ$10)*AJ$18+AJ$17,1))</f>
        <v/>
      </c>
      <c r="AB28" s="13"/>
      <c r="AC28" s="6" t="str">
        <f aca="false">IF(AB28="","",ROUND(((AB28-AJ$11)/AJ$12)*AJ$18+AJ$17,1))</f>
        <v/>
      </c>
      <c r="AD28" s="17" t="n">
        <v>240.8</v>
      </c>
      <c r="AE28" s="6" t="n">
        <f aca="false">IF(AD28="","",ROUND(((AD28-AJ$13)/AJ$14)*AJ$18+AJ$17,1))</f>
        <v>0.5</v>
      </c>
      <c r="AF28" s="13" t="n">
        <v>3</v>
      </c>
      <c r="AG28" s="6" t="n">
        <f aca="false">IF(AF28="","",ROUND(((AF28-AJ$15)/AJ$16)*AJ$18+AJ$17,1))</f>
        <v>-2.5</v>
      </c>
      <c r="AH28" s="12"/>
    </row>
    <row r="29" customFormat="false" ht="15" hidden="false" customHeight="true" outlineLevel="0" collapsed="false">
      <c r="A29" s="5" t="s">
        <v>231</v>
      </c>
      <c r="B29" s="5" t="s">
        <v>256</v>
      </c>
      <c r="C29" s="6" t="n">
        <f aca="false">IFERROR(ROUND(MAX(0,AVERAGE(F29,H29,J29,L29,N29)),1),"")</f>
        <v>2.9</v>
      </c>
      <c r="D29" s="7" t="n">
        <f aca="false">COUNT(E29,G29,I29,K29,M29)</f>
        <v>3</v>
      </c>
      <c r="E29" s="13" t="n">
        <v>3</v>
      </c>
      <c r="F29" s="6" t="n">
        <f aca="false">IF(E29="","",ROUND(((E29-Q$7)/Q$8)*Q$18+Q$17,1))</f>
        <v>3</v>
      </c>
      <c r="G29" s="13"/>
      <c r="H29" s="6" t="str">
        <f aca="false">IF(G29="","",ROUND(((G29-Q$9)/Q$10)*Q$18+Q$17,1))</f>
        <v/>
      </c>
      <c r="I29" s="13"/>
      <c r="J29" s="6" t="str">
        <f aca="false">IF(I29="","",ROUND(((I29-Q$11)/Q$12)*Q$18+Q$17,1))</f>
        <v/>
      </c>
      <c r="K29" s="13" t="n">
        <v>273</v>
      </c>
      <c r="L29" s="6" t="n">
        <f aca="false">IF(K29="","",ROUND(((K29-Q$13)/Q$14)*Q$18+Q$17,1))</f>
        <v>2</v>
      </c>
      <c r="M29" s="13" t="n">
        <v>8</v>
      </c>
      <c r="N29" s="6" t="n">
        <f aca="false">IF(M29="","",ROUND(((M29-Q$15)/Q$16)*Q$18+Q$17,1))</f>
        <v>3.6</v>
      </c>
      <c r="O29" s="12"/>
      <c r="T29" s="5" t="s">
        <v>231</v>
      </c>
      <c r="U29" s="5" t="s">
        <v>257</v>
      </c>
      <c r="V29" s="6" t="n">
        <f aca="false">IFERROR(MIN(ROUND(MAX(0,AVERAGE(Y29,AA29,AC29,AE29,AG29)),1),1.8),"")</f>
        <v>1</v>
      </c>
      <c r="W29" s="7" t="n">
        <f aca="false">COUNT(X29,Z29,AB29,AD29,AF29)</f>
        <v>4</v>
      </c>
      <c r="X29" s="13" t="n">
        <v>2</v>
      </c>
      <c r="Y29" s="6" t="n">
        <f aca="false">IF(X29="","",ROUND(((X29-AJ$7)/AJ$8)*AJ$18+AJ$17,1))</f>
        <v>2</v>
      </c>
      <c r="Z29" s="13"/>
      <c r="AA29" s="6" t="str">
        <f aca="false">IF(Z29="","",ROUND(((Z29-AJ$9)/AJ$10)*AJ$18+AJ$17,1))</f>
        <v/>
      </c>
      <c r="AB29" s="13" t="n">
        <v>5.3</v>
      </c>
      <c r="AC29" s="6" t="n">
        <f aca="false">IF(AB29="","",ROUND(((AB29-AJ$11)/AJ$12)*AJ$18+AJ$17,1))</f>
        <v>1.4</v>
      </c>
      <c r="AD29" s="17" t="n">
        <v>256.7</v>
      </c>
      <c r="AE29" s="6" t="n">
        <f aca="false">IF(AD29="","",ROUND(((AD29-AJ$13)/AJ$14)*AJ$18+AJ$17,1))</f>
        <v>0.9</v>
      </c>
      <c r="AF29" s="13" t="n">
        <v>5</v>
      </c>
      <c r="AG29" s="6" t="n">
        <f aca="false">IF(AF29="","",ROUND(((AF29-AJ$15)/AJ$16)*AJ$18+AJ$17,1))</f>
        <v>-0.5</v>
      </c>
      <c r="AH29" s="12"/>
    </row>
    <row r="30" customFormat="false" ht="15" hidden="false" customHeight="true" outlineLevel="0" collapsed="false">
      <c r="A30" s="5" t="s">
        <v>231</v>
      </c>
      <c r="B30" s="5" t="s">
        <v>258</v>
      </c>
      <c r="C30" s="6" t="n">
        <f aca="false">IFERROR(ROUND(MAX(0,AVERAGE(F30,H30,J30,L30,N30)),1),"")</f>
        <v>2.4</v>
      </c>
      <c r="D30" s="7" t="n">
        <f aca="false">COUNT(E30,G30,I30,K30,M30)</f>
        <v>3</v>
      </c>
      <c r="E30" s="13" t="n">
        <v>4</v>
      </c>
      <c r="F30" s="6" t="n">
        <f aca="false">IF(E30="","",ROUND(((E30-Q$7)/Q$8)*Q$18+Q$17,1))</f>
        <v>4</v>
      </c>
      <c r="G30" s="13"/>
      <c r="H30" s="6" t="str">
        <f aca="false">IF(G30="","",ROUND(((G30-Q$9)/Q$10)*Q$18+Q$17,1))</f>
        <v/>
      </c>
      <c r="I30" s="13"/>
      <c r="J30" s="6" t="str">
        <f aca="false">IF(I30="","",ROUND(((I30-Q$11)/Q$12)*Q$18+Q$17,1))</f>
        <v/>
      </c>
      <c r="K30" s="13" t="n">
        <v>338</v>
      </c>
      <c r="L30" s="6" t="n">
        <f aca="false">IF(K30="","",ROUND(((K30-Q$13)/Q$14)*Q$18+Q$17,1))</f>
        <v>3.5</v>
      </c>
      <c r="M30" s="13" t="n">
        <v>4</v>
      </c>
      <c r="N30" s="6" t="n">
        <f aca="false">IF(M30="","",ROUND(((M30-Q$15)/Q$16)*Q$18+Q$17,1))</f>
        <v>-0.3</v>
      </c>
      <c r="O30" s="12"/>
      <c r="T30" s="5" t="s">
        <v>231</v>
      </c>
      <c r="U30" s="5" t="s">
        <v>259</v>
      </c>
      <c r="V30" s="6" t="n">
        <f aca="false">IFERROR(MIN(ROUND(MAX(0,AVERAGE(Y30,AA30,AC30,AE30,AG30)),1),1.8),"")</f>
        <v>1.1</v>
      </c>
      <c r="W30" s="7" t="n">
        <f aca="false">COUNT(X30,Z30,AB30,AD30,AF30)</f>
        <v>4</v>
      </c>
      <c r="X30" s="13" t="n">
        <v>3</v>
      </c>
      <c r="Y30" s="6" t="n">
        <f aca="false">IF(X30="","",ROUND(((X30-AJ$7)/AJ$8)*AJ$18+AJ$17,1))</f>
        <v>3</v>
      </c>
      <c r="Z30" s="13"/>
      <c r="AA30" s="6" t="str">
        <f aca="false">IF(Z30="","",ROUND(((Z30-AJ$9)/AJ$10)*AJ$18+AJ$17,1))</f>
        <v/>
      </c>
      <c r="AB30" s="13" t="n">
        <v>3</v>
      </c>
      <c r="AC30" s="6" t="n">
        <f aca="false">IF(AB30="","",ROUND(((AB30-AJ$11)/AJ$12)*AJ$18+AJ$17,1))</f>
        <v>-3.3</v>
      </c>
      <c r="AD30" s="17" t="n">
        <v>395.1</v>
      </c>
      <c r="AE30" s="6" t="n">
        <f aca="false">IF(AD30="","",ROUND(((AD30-AJ$13)/AJ$14)*AJ$18+AJ$17,1))</f>
        <v>4.1</v>
      </c>
      <c r="AF30" s="13" t="n">
        <v>6</v>
      </c>
      <c r="AG30" s="6" t="n">
        <f aca="false">IF(AF30="","",ROUND(((AF30-AJ$15)/AJ$16)*AJ$18+AJ$17,1))</f>
        <v>0.4</v>
      </c>
      <c r="AH30" s="12"/>
    </row>
    <row r="31" customFormat="false" ht="15" hidden="false" customHeight="true" outlineLevel="0" collapsed="false">
      <c r="A31" s="5" t="s">
        <v>231</v>
      </c>
      <c r="B31" s="5" t="s">
        <v>255</v>
      </c>
      <c r="C31" s="6" t="n">
        <f aca="false">IFERROR(ROUND(MAX(0,AVERAGE(F31,H31,J31,L31,N31)),1),"")</f>
        <v>1.9</v>
      </c>
      <c r="D31" s="7" t="n">
        <f aca="false">COUNT(E31,G31,I31,K31,M31)</f>
        <v>3</v>
      </c>
      <c r="E31" s="13" t="n">
        <v>3</v>
      </c>
      <c r="F31" s="6" t="n">
        <f aca="false">IF(E31="","",ROUND(((E31-Q$7)/Q$8)*Q$18+Q$17,1))</f>
        <v>3</v>
      </c>
      <c r="G31" s="13"/>
      <c r="H31" s="6" t="str">
        <f aca="false">IF(G31="","",ROUND(((G31-Q$9)/Q$10)*Q$18+Q$17,1))</f>
        <v/>
      </c>
      <c r="I31" s="13"/>
      <c r="J31" s="6" t="str">
        <f aca="false">IF(I31="","",ROUND(((I31-Q$11)/Q$12)*Q$18+Q$17,1))</f>
        <v/>
      </c>
      <c r="K31" s="13" t="n">
        <v>321</v>
      </c>
      <c r="L31" s="6" t="n">
        <f aca="false">IF(K31="","",ROUND(((K31-Q$13)/Q$14)*Q$18+Q$17,1))</f>
        <v>3.1</v>
      </c>
      <c r="M31" s="13" t="n">
        <v>4</v>
      </c>
      <c r="N31" s="6" t="n">
        <f aca="false">IF(M31="","",ROUND(((M31-Q$15)/Q$16)*Q$18+Q$17,1))</f>
        <v>-0.3</v>
      </c>
      <c r="O31" s="12"/>
      <c r="T31" s="5" t="s">
        <v>231</v>
      </c>
      <c r="U31" s="5" t="s">
        <v>260</v>
      </c>
      <c r="V31" s="6" t="n">
        <f aca="false">IFERROR(MIN(ROUND(MAX(0,AVERAGE(Y31,AA31,AC31,AE31,AG31)),1),0),"")</f>
        <v>0</v>
      </c>
      <c r="W31" s="7" t="n">
        <f aca="false">COUNT(X31,Z31,AB31,AD31,AF31)</f>
        <v>3</v>
      </c>
      <c r="X31" s="13" t="n">
        <v>1</v>
      </c>
      <c r="Y31" s="6" t="n">
        <f aca="false">IF(X31="","",ROUND(((X31-AJ$7)/AJ$8)*AJ$18+AJ$17,1))</f>
        <v>1</v>
      </c>
      <c r="Z31" s="13"/>
      <c r="AA31" s="6" t="str">
        <f aca="false">IF(Z31="","",ROUND(((Z31-AJ$9)/AJ$10)*AJ$18+AJ$17,1))</f>
        <v/>
      </c>
      <c r="AB31" s="13"/>
      <c r="AC31" s="6" t="str">
        <f aca="false">IF(AB31="","",ROUND(((AB31-AJ$11)/AJ$12)*AJ$18+AJ$17,1))</f>
        <v/>
      </c>
      <c r="AD31" s="17" t="n">
        <v>233</v>
      </c>
      <c r="AE31" s="6" t="n">
        <f aca="false">IF(AD31="","",ROUND(((AD31-AJ$13)/AJ$14)*AJ$18+AJ$17,1))</f>
        <v>0.3</v>
      </c>
      <c r="AF31" s="13" t="n">
        <v>1</v>
      </c>
      <c r="AG31" s="6" t="n">
        <f aca="false">IF(AF31="","",ROUND(((AF31-AJ$15)/AJ$16)*AJ$18+AJ$17,1))</f>
        <v>-4.4</v>
      </c>
      <c r="AH31" s="12"/>
    </row>
    <row r="32" customFormat="false" ht="15" hidden="false" customHeight="true" outlineLevel="0" collapsed="false">
      <c r="A32" s="5" t="s">
        <v>231</v>
      </c>
      <c r="B32" s="5" t="s">
        <v>257</v>
      </c>
      <c r="C32" s="6" t="n">
        <f aca="false">IFERROR(ROUND(MAX(0,AVERAGE(F32,H32,J32,L32,N32)),1),"")</f>
        <v>1.8</v>
      </c>
      <c r="D32" s="7" t="n">
        <f aca="false">COUNT(E32,G32,I32,K32,M32)</f>
        <v>4</v>
      </c>
      <c r="E32" s="13" t="n">
        <v>3</v>
      </c>
      <c r="F32" s="6" t="n">
        <f aca="false">IF(E32="","",ROUND(((E32-Q$7)/Q$8)*Q$18+Q$17,1))</f>
        <v>3</v>
      </c>
      <c r="G32" s="13"/>
      <c r="H32" s="6" t="str">
        <f aca="false">IF(G32="","",ROUND(((G32-Q$9)/Q$10)*Q$18+Q$17,1))</f>
        <v/>
      </c>
      <c r="I32" s="17" t="n">
        <v>6.4</v>
      </c>
      <c r="J32" s="6" t="n">
        <f aca="false">IF(I32="","",ROUND(((I32-Q$11)/Q$12)*Q$18+Q$17,1))</f>
        <v>-0.1</v>
      </c>
      <c r="K32" s="13" t="n">
        <v>308</v>
      </c>
      <c r="L32" s="6" t="n">
        <f aca="false">IF(K32="","",ROUND(((K32-Q$13)/Q$14)*Q$18+Q$17,1))</f>
        <v>2.8</v>
      </c>
      <c r="M32" s="13" t="n">
        <v>6</v>
      </c>
      <c r="N32" s="6" t="n">
        <f aca="false">IF(M32="","",ROUND(((M32-Q$15)/Q$16)*Q$18+Q$17,1))</f>
        <v>1.6</v>
      </c>
      <c r="O32" s="12"/>
    </row>
    <row r="33" customFormat="false" ht="15" hidden="false" customHeight="true" outlineLevel="0" collapsed="false">
      <c r="A33" s="5" t="s">
        <v>231</v>
      </c>
      <c r="B33" s="5" t="s">
        <v>259</v>
      </c>
      <c r="C33" s="6" t="n">
        <f aca="false">IFERROR(ROUND(MAX(0,AVERAGE(F33,H33,J33,L33,N33)),1),"")</f>
        <v>1.8</v>
      </c>
      <c r="D33" s="7" t="n">
        <f aca="false">COUNT(E33,G33,I33,K33,M33)</f>
        <v>4</v>
      </c>
      <c r="E33" s="13" t="n">
        <v>4</v>
      </c>
      <c r="F33" s="6" t="n">
        <f aca="false">IF(E33="","",ROUND(((E33-Q$7)/Q$8)*Q$18+Q$17,1))</f>
        <v>4</v>
      </c>
      <c r="G33" s="13"/>
      <c r="H33" s="6" t="str">
        <f aca="false">IF(G33="","",ROUND(((G33-Q$9)/Q$10)*Q$18+Q$17,1))</f>
        <v/>
      </c>
      <c r="I33" s="17" t="n">
        <v>3.5</v>
      </c>
      <c r="J33" s="6" t="n">
        <f aca="false">IF(I33="","",ROUND(((I33-Q$11)/Q$12)*Q$18+Q$17,1))</f>
        <v>-5.7</v>
      </c>
      <c r="K33" s="13" t="n">
        <v>461</v>
      </c>
      <c r="L33" s="6" t="n">
        <f aca="false">IF(K33="","",ROUND(((K33-Q$13)/Q$14)*Q$18+Q$17,1))</f>
        <v>6.4</v>
      </c>
      <c r="M33" s="13" t="n">
        <v>7</v>
      </c>
      <c r="N33" s="6" t="n">
        <f aca="false">IF(M33="","",ROUND(((M33-Q$15)/Q$16)*Q$18+Q$17,1))</f>
        <v>2.6</v>
      </c>
      <c r="O33" s="12"/>
    </row>
    <row r="34" customFormat="false" ht="15" hidden="false" customHeight="true" outlineLevel="0" collapsed="false">
      <c r="A34" s="5" t="s">
        <v>231</v>
      </c>
      <c r="B34" s="5" t="s">
        <v>261</v>
      </c>
      <c r="C34" s="6" t="n">
        <f aca="false">IFERROR(ROUND(MAX(0,AVERAGE(F34,H34,J34,L34,N34)),1),"")</f>
        <v>0.7</v>
      </c>
      <c r="D34" s="7" t="n">
        <f aca="false">COUNT(E34,G34,I34,K34,M34)</f>
        <v>3</v>
      </c>
      <c r="E34" s="13" t="n">
        <v>2</v>
      </c>
      <c r="F34" s="6" t="n">
        <f aca="false">IF(E34="","",ROUND(((E34-Q$7)/Q$8)*Q$18+Q$17,1))</f>
        <v>2</v>
      </c>
      <c r="G34" s="13"/>
      <c r="H34" s="6" t="str">
        <f aca="false">IF(G34="","",ROUND(((G34-Q$9)/Q$10)*Q$18+Q$17,1))</f>
        <v/>
      </c>
      <c r="I34" s="13"/>
      <c r="J34" s="6" t="str">
        <f aca="false">IF(I34="","",ROUND(((I34-Q$11)/Q$12)*Q$18+Q$17,1))</f>
        <v/>
      </c>
      <c r="K34" s="13" t="n">
        <v>290</v>
      </c>
      <c r="L34" s="6" t="n">
        <f aca="false">IF(K34="","",ROUND(((K34-Q$13)/Q$14)*Q$18+Q$17,1))</f>
        <v>2.4</v>
      </c>
      <c r="M34" s="13" t="n">
        <v>2</v>
      </c>
      <c r="N34" s="6" t="n">
        <f aca="false">IF(M34="","",ROUND(((M34-Q$15)/Q$16)*Q$18+Q$17,1))</f>
        <v>-2.2</v>
      </c>
      <c r="O34" s="12"/>
    </row>
    <row r="35" customFormat="false" ht="15" hidden="false" customHeight="true" outlineLevel="0" collapsed="false">
      <c r="A35" s="5" t="s">
        <v>231</v>
      </c>
      <c r="B35" s="5" t="s">
        <v>262</v>
      </c>
      <c r="C35" s="6" t="n">
        <f aca="false">IFERROR(ROUND(MAX(0,AVERAGE(F35,H35,J35,L35,N35)),1),"")</f>
        <v>0.2</v>
      </c>
      <c r="D35" s="7" t="n">
        <f aca="false">COUNT(E35,G35,I35,K35,M35)</f>
        <v>3</v>
      </c>
      <c r="E35" s="13" t="n">
        <v>1</v>
      </c>
      <c r="F35" s="6" t="n">
        <f aca="false">IF(E35="","",ROUND(((E35-Q$7)/Q$8)*Q$18+Q$17,1))</f>
        <v>1</v>
      </c>
      <c r="G35" s="13"/>
      <c r="H35" s="6" t="str">
        <f aca="false">IF(G35="","",ROUND(((G35-Q$9)/Q$10)*Q$18+Q$17,1))</f>
        <v/>
      </c>
      <c r="I35" s="13"/>
      <c r="J35" s="6" t="str">
        <f aca="false">IF(I35="","",ROUND(((I35-Q$11)/Q$12)*Q$18+Q$17,1))</f>
        <v/>
      </c>
      <c r="K35" s="13" t="n">
        <v>231</v>
      </c>
      <c r="L35" s="6" t="n">
        <f aca="false">IF(K35="","",ROUND(((K35-Q$13)/Q$14)*Q$18+Q$17,1))</f>
        <v>1</v>
      </c>
      <c r="M35" s="13" t="n">
        <v>3</v>
      </c>
      <c r="N35" s="6" t="n">
        <f aca="false">IF(M35="","",ROUND(((M35-Q$15)/Q$16)*Q$18+Q$17,1))</f>
        <v>-1.3</v>
      </c>
      <c r="O35" s="12"/>
    </row>
    <row r="36" customFormat="false" ht="15" hidden="false" customHeight="true" outlineLevel="0" collapsed="false">
      <c r="A36" s="5" t="s">
        <v>231</v>
      </c>
      <c r="B36" s="5" t="s">
        <v>263</v>
      </c>
      <c r="C36" s="6" t="n">
        <f aca="false">IFERROR(ROUND(MAX(0,AVERAGE(F36,H36,J36,L36,N36)),1),"")</f>
        <v>0.1</v>
      </c>
      <c r="D36" s="7" t="n">
        <f aca="false">COUNT(E36,G36,I36,K36,M36)</f>
        <v>3</v>
      </c>
      <c r="E36" s="13" t="n">
        <v>0</v>
      </c>
      <c r="F36" s="6" t="n">
        <f aca="false">IF(E36="","",ROUND(((E36-Q$7)/Q$8)*Q$18+Q$17,1))</f>
        <v>0</v>
      </c>
      <c r="G36" s="13"/>
      <c r="H36" s="6" t="str">
        <f aca="false">IF(G36="","",ROUND(((G36-Q$9)/Q$10)*Q$18+Q$17,1))</f>
        <v/>
      </c>
      <c r="I36" s="13"/>
      <c r="J36" s="6" t="str">
        <f aca="false">IF(I36="","",ROUND(((I36-Q$11)/Q$12)*Q$18+Q$17,1))</f>
        <v/>
      </c>
      <c r="K36" s="13" t="n">
        <v>253</v>
      </c>
      <c r="L36" s="6" t="n">
        <f aca="false">IF(K36="","",ROUND(((K36-Q$13)/Q$14)*Q$18+Q$17,1))</f>
        <v>1.6</v>
      </c>
      <c r="M36" s="13" t="n">
        <v>3</v>
      </c>
      <c r="N36" s="6" t="n">
        <f aca="false">IF(M36="","",ROUND(((M36-Q$15)/Q$16)*Q$18+Q$17,1))</f>
        <v>-1.3</v>
      </c>
      <c r="O36" s="12"/>
    </row>
    <row r="37" customFormat="false" ht="15" hidden="false" customHeight="true" outlineLevel="0" collapsed="false">
      <c r="A37" s="5" t="s">
        <v>231</v>
      </c>
      <c r="B37" s="5" t="s">
        <v>260</v>
      </c>
      <c r="C37" s="6" t="n">
        <f aca="false">IFERROR(ROUND(MAX(0,AVERAGE(F37,H37,J37,L37,N37)),1),"")</f>
        <v>0</v>
      </c>
      <c r="D37" s="7" t="n">
        <f aca="false">COUNT(E37,G37,I37,K37,M37)</f>
        <v>3</v>
      </c>
      <c r="E37" s="13" t="n">
        <v>1</v>
      </c>
      <c r="F37" s="6" t="n">
        <f aca="false">IF(E37="","",ROUND(((E37-Q$7)/Q$8)*Q$18+Q$17,1))</f>
        <v>1</v>
      </c>
      <c r="G37" s="13"/>
      <c r="H37" s="6" t="str">
        <f aca="false">IF(G37="","",ROUND(((G37-Q$9)/Q$10)*Q$18+Q$17,1))</f>
        <v/>
      </c>
      <c r="I37" s="13"/>
      <c r="J37" s="6" t="str">
        <f aca="false">IF(I37="","",ROUND(((I37-Q$11)/Q$12)*Q$18+Q$17,1))</f>
        <v/>
      </c>
      <c r="K37" s="13" t="n">
        <v>233</v>
      </c>
      <c r="L37" s="6" t="n">
        <f aca="false">IF(K37="","",ROUND(((K37-Q$13)/Q$14)*Q$18+Q$17,1))</f>
        <v>1.1</v>
      </c>
      <c r="M37" s="13" t="n">
        <v>1</v>
      </c>
      <c r="N37" s="6" t="n">
        <f aca="false">IF(M37="","",ROUND(((M37-Q$15)/Q$16)*Q$18+Q$17,1))</f>
        <v>-3.2</v>
      </c>
      <c r="O3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0"/>
  </cols>
  <sheetData>
    <row r="1" customFormat="false" ht="17.25" hidden="false" customHeight="true" outlineLevel="0" collapsed="false">
      <c r="A1" s="2" t="s">
        <v>264</v>
      </c>
    </row>
    <row r="3" customFormat="false" ht="15" hidden="false" customHeight="true" outlineLevel="0" collapsed="false">
      <c r="A3" s="18" t="s">
        <v>265</v>
      </c>
    </row>
    <row r="5" customFormat="false" ht="15" hidden="false" customHeight="true" outlineLevel="0" collapsed="false">
      <c r="A5" s="19" t="s">
        <v>266</v>
      </c>
    </row>
    <row r="6" customFormat="false" ht="15" hidden="false" customHeight="true" outlineLevel="0" collapsed="false">
      <c r="A6" s="18" t="s">
        <v>267</v>
      </c>
    </row>
    <row r="7" customFormat="false" ht="15" hidden="false" customHeight="true" outlineLevel="0" collapsed="false">
      <c r="A7" s="18" t="s">
        <v>268</v>
      </c>
    </row>
    <row r="8" customFormat="false" ht="15" hidden="false" customHeight="true" outlineLevel="0" collapsed="false">
      <c r="A8" s="18" t="s">
        <v>269</v>
      </c>
    </row>
    <row r="9" customFormat="false" ht="15" hidden="false" customHeight="true" outlineLevel="0" collapsed="false">
      <c r="A9" s="18" t="s">
        <v>270</v>
      </c>
    </row>
    <row r="10" customFormat="false" ht="15" hidden="false" customHeight="true" outlineLevel="0" collapsed="false">
      <c r="A10" s="18" t="s">
        <v>271</v>
      </c>
    </row>
    <row r="12" customFormat="false" ht="15" hidden="false" customHeight="true" outlineLevel="0" collapsed="false">
      <c r="A12" s="19" t="s">
        <v>272</v>
      </c>
    </row>
    <row r="13" customFormat="false" ht="15" hidden="false" customHeight="true" outlineLevel="0" collapsed="false">
      <c r="A13" s="18" t="s">
        <v>273</v>
      </c>
    </row>
    <row r="14" customFormat="false" ht="15" hidden="false" customHeight="true" outlineLevel="0" collapsed="false">
      <c r="A14" s="18" t="s">
        <v>274</v>
      </c>
    </row>
    <row r="15" customFormat="false" ht="15" hidden="false" customHeight="true" outlineLevel="0" collapsed="false">
      <c r="A15" s="18" t="s">
        <v>275</v>
      </c>
    </row>
    <row r="16" customFormat="false" ht="15" hidden="false" customHeight="true" outlineLevel="0" collapsed="false">
      <c r="A16" s="18" t="s">
        <v>276</v>
      </c>
    </row>
    <row r="18" customFormat="false" ht="15" hidden="false" customHeight="true" outlineLevel="0" collapsed="false">
      <c r="A18" s="19" t="s">
        <v>277</v>
      </c>
    </row>
    <row r="19" customFormat="false" ht="15" hidden="false" customHeight="true" outlineLevel="0" collapsed="false">
      <c r="A19" s="18" t="s">
        <v>278</v>
      </c>
    </row>
    <row r="20" customFormat="false" ht="15" hidden="false" customHeight="true" outlineLevel="0" collapsed="false">
      <c r="A20" s="18" t="s">
        <v>279</v>
      </c>
    </row>
    <row r="21" customFormat="false" ht="15" hidden="false" customHeight="true" outlineLevel="0" collapsed="false">
      <c r="A21" s="18" t="s">
        <v>280</v>
      </c>
    </row>
    <row r="22" customFormat="false" ht="15" hidden="false" customHeight="true" outlineLevel="0" collapsed="false">
      <c r="A22" s="18" t="s">
        <v>281</v>
      </c>
    </row>
    <row r="23" customFormat="false" ht="15" hidden="false" customHeight="true" outlineLevel="0" collapsed="false">
      <c r="A23" s="18" t="s">
        <v>282</v>
      </c>
    </row>
    <row r="24" customFormat="false" ht="15" hidden="false" customHeight="true" outlineLevel="0" collapsed="false">
      <c r="A24" s="18" t="s">
        <v>283</v>
      </c>
    </row>
    <row r="26" customFormat="false" ht="15" hidden="false" customHeight="true" outlineLevel="0" collapsed="false">
      <c r="A26" s="19" t="s">
        <v>5</v>
      </c>
    </row>
    <row r="27" customFormat="false" ht="15" hidden="false" customHeight="true" outlineLevel="0" collapsed="false">
      <c r="A27" s="18" t="s">
        <v>284</v>
      </c>
    </row>
    <row r="28" customFormat="false" ht="15" hidden="false" customHeight="true" outlineLevel="0" collapsed="false">
      <c r="A28" s="18" t="s">
        <v>285</v>
      </c>
    </row>
    <row r="29" customFormat="false" ht="15" hidden="false" customHeight="true" outlineLevel="0" collapsed="false">
      <c r="A29" s="18" t="s">
        <v>286</v>
      </c>
    </row>
    <row r="30" customFormat="false" ht="15" hidden="false" customHeight="true" outlineLevel="0" collapsed="false">
      <c r="A30" s="18" t="s">
        <v>287</v>
      </c>
    </row>
    <row r="31" customFormat="false" ht="15" hidden="false" customHeight="true" outlineLevel="0" collapsed="false">
      <c r="A31" s="18" t="s">
        <v>288</v>
      </c>
    </row>
    <row r="32" customFormat="false" ht="15" hidden="false" customHeight="true" outlineLevel="0" collapsed="false">
      <c r="A32" s="18" t="s">
        <v>289</v>
      </c>
    </row>
    <row r="33" customFormat="false" ht="15" hidden="false" customHeight="true" outlineLevel="0" collapsed="false">
      <c r="A33" s="18" t="s">
        <v>290</v>
      </c>
    </row>
    <row r="35" customFormat="false" ht="15" hidden="false" customHeight="true" outlineLevel="0" collapsed="false">
      <c r="A35" s="19" t="s">
        <v>291</v>
      </c>
    </row>
    <row r="36" customFormat="false" ht="15" hidden="false" customHeight="true" outlineLevel="0" collapsed="false">
      <c r="A36" s="18" t="s">
        <v>292</v>
      </c>
    </row>
    <row r="37" customFormat="false" ht="15" hidden="false" customHeight="true" outlineLevel="0" collapsed="false">
      <c r="A37" s="18" t="s">
        <v>293</v>
      </c>
    </row>
    <row r="38" customFormat="false" ht="15" hidden="false" customHeight="true" outlineLevel="0" collapsed="false">
      <c r="A38" s="18" t="s">
        <v>294</v>
      </c>
    </row>
    <row r="40" customFormat="false" ht="15" hidden="false" customHeight="true" outlineLevel="0" collapsed="false">
      <c r="A40" s="19" t="s">
        <v>295</v>
      </c>
    </row>
    <row r="41" customFormat="false" ht="15" hidden="false" customHeight="true" outlineLevel="0" collapsed="false">
      <c r="A41" s="20" t="s">
        <v>296</v>
      </c>
    </row>
    <row r="42" customFormat="false" ht="15" hidden="false" customHeight="true" outlineLevel="0" collapsed="false">
      <c r="A42" s="20" t="s">
        <v>297</v>
      </c>
    </row>
    <row r="43" customFormat="false" ht="15" hidden="false" customHeight="true" outlineLevel="0" collapsed="false">
      <c r="A43" s="20" t="s">
        <v>298</v>
      </c>
    </row>
    <row r="44" customFormat="false" ht="15" hidden="false" customHeight="true" outlineLevel="0" collapsed="false">
      <c r="A44" s="20" t="s">
        <v>299</v>
      </c>
    </row>
    <row r="46" customFormat="false" ht="15" hidden="false" customHeight="true" outlineLevel="0" collapsed="false">
      <c r="A46" s="19" t="s">
        <v>300</v>
      </c>
    </row>
    <row r="47" customFormat="false" ht="15" hidden="false" customHeight="true" outlineLevel="0" collapsed="false">
      <c r="A47" s="20" t="s">
        <v>301</v>
      </c>
    </row>
    <row r="48" customFormat="false" ht="15" hidden="false" customHeight="true" outlineLevel="0" collapsed="false">
      <c r="A48" s="20" t="s">
        <v>302</v>
      </c>
    </row>
    <row r="49" customFormat="false" ht="15" hidden="false" customHeight="true" outlineLevel="0" collapsed="false">
      <c r="A49" s="20" t="s">
        <v>303</v>
      </c>
    </row>
    <row r="50" customFormat="false" ht="15" hidden="false" customHeight="true" outlineLevel="0" collapsed="false">
      <c r="A50" s="20" t="s">
        <v>304</v>
      </c>
    </row>
    <row r="51" customFormat="false" ht="15" hidden="false" customHeight="true" outlineLevel="0" collapsed="false">
      <c r="A51" s="20" t="s">
        <v>305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2026-10-14T16:16:49Z</dcterms:created>
  <dc:creator>openpyxl</dc:creator>
  <dc:description/>
  <dc:language>en-US</dc:language>
  <cp:lastModifiedBy/>
  <dcterms:modified xsi:type="dcterms:W3CDTF">2026-10-14T16:16:54Z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